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hva/lss_greenbelt/data/"/>
    </mc:Choice>
  </mc:AlternateContent>
  <xr:revisionPtr revIDLastSave="0" documentId="13_ncr:1_{0872E0AD-F4AD-9449-8AC8-3C51EE869670}" xr6:coauthVersionLast="47" xr6:coauthVersionMax="47" xr10:uidLastSave="{00000000-0000-0000-0000-000000000000}"/>
  <bookViews>
    <workbookView xWindow="37820" yWindow="500" windowWidth="25160" windowHeight="40780" xr2:uid="{7E9CB8CD-E542-F74B-AE54-FDEAC638D405}"/>
  </bookViews>
  <sheets>
    <sheet name="L23_Output" sheetId="21" r:id="rId1"/>
    <sheet name="L23_Source" sheetId="19" r:id="rId2"/>
    <sheet name="L23_Voortgang" sheetId="1" r:id="rId3"/>
    <sheet name="20240513" sheetId="17" r:id="rId4"/>
    <sheet name="Voortgang" sheetId="20" r:id="rId5"/>
  </sheets>
  <definedNames>
    <definedName name="_xlnm._FilterDatabase" localSheetId="3" hidden="1">'20240513'!$A$1:$H$1</definedName>
    <definedName name="_xlnm._FilterDatabase" localSheetId="2" hidden="1">L23_Voortgang!$E$1:$L$1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21" l="1"/>
  <c r="F181" i="21"/>
  <c r="F180" i="21"/>
  <c r="F179" i="21"/>
  <c r="F183" i="21" s="1"/>
  <c r="F178" i="21"/>
  <c r="F177" i="21"/>
  <c r="F176" i="21"/>
  <c r="F175" i="21"/>
  <c r="A175" i="21"/>
  <c r="G140" i="21" a="1"/>
  <c r="G140" i="21" s="1"/>
  <c r="H140" i="21" s="1"/>
  <c r="F140" i="21"/>
  <c r="F140" i="21" a="1"/>
  <c r="D140" i="21"/>
  <c r="C140" i="21"/>
  <c r="J140" i="21" s="1" a="1"/>
  <c r="J140" i="21" s="1"/>
  <c r="B140" i="21"/>
  <c r="B172" i="21" s="1"/>
  <c r="G171" i="21" a="1"/>
  <c r="G171" i="21" s="1"/>
  <c r="F171" i="21" a="1"/>
  <c r="F171" i="21" s="1"/>
  <c r="D171" i="21"/>
  <c r="C171" i="21"/>
  <c r="J171" i="21" s="1" a="1"/>
  <c r="J171" i="21" s="1"/>
  <c r="B171" i="21"/>
  <c r="G170" i="21" a="1"/>
  <c r="G170" i="21" s="1"/>
  <c r="F170" i="21" a="1"/>
  <c r="F170" i="21" s="1"/>
  <c r="D170" i="21"/>
  <c r="C170" i="21"/>
  <c r="J170" i="21" s="1" a="1"/>
  <c r="J170" i="21" s="1"/>
  <c r="B170" i="21"/>
  <c r="G169" i="21" a="1"/>
  <c r="G169" i="21" s="1"/>
  <c r="F169" i="21" a="1"/>
  <c r="F169" i="21" s="1"/>
  <c r="D169" i="21"/>
  <c r="C169" i="21"/>
  <c r="J169" i="21" s="1" a="1"/>
  <c r="J169" i="21" s="1"/>
  <c r="B169" i="21"/>
  <c r="G168" i="21" a="1"/>
  <c r="G168" i="21" s="1"/>
  <c r="F168" i="21" a="1"/>
  <c r="F168" i="21" s="1"/>
  <c r="D168" i="21"/>
  <c r="C168" i="21"/>
  <c r="J168" i="21" s="1" a="1"/>
  <c r="J168" i="21" s="1"/>
  <c r="B168" i="21"/>
  <c r="G167" i="21" a="1"/>
  <c r="G167" i="21" s="1"/>
  <c r="H167" i="21" s="1"/>
  <c r="F167" i="21"/>
  <c r="F167" i="21" a="1"/>
  <c r="D167" i="21"/>
  <c r="C167" i="21"/>
  <c r="J167" i="21" s="1" a="1"/>
  <c r="J167" i="21" s="1"/>
  <c r="B167" i="21"/>
  <c r="G166" i="21" a="1"/>
  <c r="G166" i="21" s="1"/>
  <c r="F166" i="21" a="1"/>
  <c r="F166" i="21" s="1"/>
  <c r="D166" i="21"/>
  <c r="C166" i="21"/>
  <c r="J166" i="21" s="1" a="1"/>
  <c r="J166" i="21" s="1"/>
  <c r="B166" i="21"/>
  <c r="G165" i="21" a="1"/>
  <c r="G165" i="21" s="1"/>
  <c r="F165" i="21" a="1"/>
  <c r="F165" i="21" s="1"/>
  <c r="D165" i="21"/>
  <c r="C165" i="21"/>
  <c r="J165" i="21" s="1" a="1"/>
  <c r="J165" i="21" s="1"/>
  <c r="B165" i="21"/>
  <c r="G164" i="21" a="1"/>
  <c r="G164" i="21" s="1"/>
  <c r="F164" i="21" a="1"/>
  <c r="F164" i="21" s="1"/>
  <c r="D164" i="21"/>
  <c r="C164" i="21"/>
  <c r="J164" i="21" s="1" a="1"/>
  <c r="J164" i="21" s="1"/>
  <c r="B164" i="21"/>
  <c r="G163" i="21" a="1"/>
  <c r="G163" i="21" s="1"/>
  <c r="F163" i="21" a="1"/>
  <c r="F163" i="21" s="1"/>
  <c r="D163" i="21"/>
  <c r="C163" i="21"/>
  <c r="J163" i="21" s="1" a="1"/>
  <c r="J163" i="21" s="1"/>
  <c r="B163" i="21"/>
  <c r="G162" i="21" a="1"/>
  <c r="G162" i="21" s="1"/>
  <c r="F162" i="21"/>
  <c r="F162" i="21" a="1"/>
  <c r="D162" i="21"/>
  <c r="C162" i="21"/>
  <c r="I162" i="21" s="1" a="1"/>
  <c r="I162" i="21" s="1"/>
  <c r="B162" i="21"/>
  <c r="G161" i="21" a="1"/>
  <c r="G161" i="21" s="1"/>
  <c r="F161" i="21" a="1"/>
  <c r="F161" i="21" s="1"/>
  <c r="D161" i="21"/>
  <c r="C161" i="21"/>
  <c r="J161" i="21" s="1" a="1"/>
  <c r="J161" i="21" s="1"/>
  <c r="B161" i="21"/>
  <c r="G160" i="21" a="1"/>
  <c r="G160" i="21" s="1"/>
  <c r="F160" i="21" a="1"/>
  <c r="F160" i="21" s="1"/>
  <c r="D160" i="21"/>
  <c r="C160" i="21"/>
  <c r="J160" i="21" s="1" a="1"/>
  <c r="J160" i="21" s="1"/>
  <c r="B160" i="21"/>
  <c r="G159" i="21" a="1"/>
  <c r="G159" i="21" s="1"/>
  <c r="H159" i="21" s="1"/>
  <c r="F159" i="21"/>
  <c r="F159" i="21" a="1"/>
  <c r="D159" i="21"/>
  <c r="C159" i="21"/>
  <c r="J159" i="21" s="1" a="1"/>
  <c r="J159" i="21" s="1"/>
  <c r="B159" i="21"/>
  <c r="G158" i="21" a="1"/>
  <c r="G158" i="21" s="1"/>
  <c r="F158" i="21" a="1"/>
  <c r="F158" i="21" s="1"/>
  <c r="D158" i="21"/>
  <c r="C158" i="21"/>
  <c r="J158" i="21" s="1" a="1"/>
  <c r="J158" i="21" s="1"/>
  <c r="B158" i="21"/>
  <c r="G157" i="21" a="1"/>
  <c r="G157" i="21" s="1"/>
  <c r="H157" i="21" s="1"/>
  <c r="F157" i="21" a="1"/>
  <c r="F157" i="21" s="1"/>
  <c r="D157" i="21"/>
  <c r="C157" i="21"/>
  <c r="J157" i="21" s="1" a="1"/>
  <c r="J157" i="21" s="1"/>
  <c r="B157" i="21"/>
  <c r="G141" i="21" a="1"/>
  <c r="G141" i="21" s="1"/>
  <c r="F141" i="21" a="1"/>
  <c r="F141" i="21" s="1"/>
  <c r="D141" i="21"/>
  <c r="D172" i="21" s="1"/>
  <c r="C141" i="21"/>
  <c r="J141" i="21" s="1" a="1"/>
  <c r="J141" i="21" s="1"/>
  <c r="B141" i="21"/>
  <c r="G142" i="21" a="1"/>
  <c r="G142" i="21" s="1"/>
  <c r="F142" i="21"/>
  <c r="F142" i="21" a="1"/>
  <c r="D142" i="21"/>
  <c r="C142" i="21"/>
  <c r="J142" i="21" s="1" a="1"/>
  <c r="J142" i="21" s="1"/>
  <c r="B142" i="21"/>
  <c r="G143" i="21" a="1"/>
  <c r="G143" i="21" s="1"/>
  <c r="F143" i="21" a="1"/>
  <c r="F143" i="21" s="1"/>
  <c r="D143" i="21"/>
  <c r="C143" i="21"/>
  <c r="J143" i="21" s="1" a="1"/>
  <c r="J143" i="21" s="1"/>
  <c r="B143" i="21"/>
  <c r="G144" i="21" a="1"/>
  <c r="G144" i="21" s="1"/>
  <c r="F144" i="21"/>
  <c r="F144" i="21" a="1"/>
  <c r="D144" i="21"/>
  <c r="C144" i="21"/>
  <c r="J144" i="21" s="1" a="1"/>
  <c r="J144" i="21" s="1"/>
  <c r="B144" i="21"/>
  <c r="G145" i="21" a="1"/>
  <c r="G145" i="21" s="1"/>
  <c r="F145" i="21" a="1"/>
  <c r="F145" i="21" s="1"/>
  <c r="D145" i="21"/>
  <c r="C145" i="21"/>
  <c r="J145" i="21" s="1" a="1"/>
  <c r="J145" i="21" s="1"/>
  <c r="B145" i="21"/>
  <c r="G146" i="21" a="1"/>
  <c r="G146" i="21" s="1"/>
  <c r="F146" i="21" a="1"/>
  <c r="F146" i="21" s="1"/>
  <c r="D146" i="21"/>
  <c r="C146" i="21"/>
  <c r="J146" i="21" s="1" a="1"/>
  <c r="J146" i="21" s="1"/>
  <c r="B146" i="21"/>
  <c r="G147" i="21" a="1"/>
  <c r="G147" i="21" s="1"/>
  <c r="H147" i="21" s="1"/>
  <c r="F147" i="21"/>
  <c r="F147" i="21" a="1"/>
  <c r="D147" i="21"/>
  <c r="C147" i="21"/>
  <c r="J147" i="21" s="1" a="1"/>
  <c r="J147" i="21" s="1"/>
  <c r="B147" i="21"/>
  <c r="G148" i="21" a="1"/>
  <c r="G148" i="21" s="1"/>
  <c r="F148" i="21" a="1"/>
  <c r="F148" i="21" s="1"/>
  <c r="D148" i="21"/>
  <c r="C148" i="21"/>
  <c r="J148" i="21" s="1" a="1"/>
  <c r="J148" i="21" s="1"/>
  <c r="B148" i="21"/>
  <c r="G149" i="21" a="1"/>
  <c r="G149" i="21" s="1"/>
  <c r="F149" i="21" a="1"/>
  <c r="F149" i="21" s="1"/>
  <c r="D149" i="21"/>
  <c r="C149" i="21"/>
  <c r="J149" i="21" s="1" a="1"/>
  <c r="J149" i="21" s="1"/>
  <c r="B149" i="21"/>
  <c r="G150" i="21" a="1"/>
  <c r="G150" i="21" s="1"/>
  <c r="H150" i="21" s="1"/>
  <c r="F150" i="21"/>
  <c r="F150" i="21" a="1"/>
  <c r="D150" i="21"/>
  <c r="C150" i="21"/>
  <c r="J150" i="21" s="1" a="1"/>
  <c r="J150" i="21" s="1"/>
  <c r="B150" i="21"/>
  <c r="G151" i="21" a="1"/>
  <c r="G151" i="21" s="1"/>
  <c r="F151" i="21" a="1"/>
  <c r="F151" i="21" s="1"/>
  <c r="D151" i="21"/>
  <c r="C151" i="21"/>
  <c r="J151" i="21" s="1" a="1"/>
  <c r="J151" i="21" s="1"/>
  <c r="B151" i="21"/>
  <c r="G152" i="21" a="1"/>
  <c r="G152" i="21" s="1"/>
  <c r="F152" i="21"/>
  <c r="F152" i="21" a="1"/>
  <c r="D152" i="21"/>
  <c r="C152" i="21"/>
  <c r="J152" i="21" s="1" a="1"/>
  <c r="J152" i="21" s="1"/>
  <c r="B152" i="21"/>
  <c r="I156" i="21" a="1"/>
  <c r="I156" i="21" s="1"/>
  <c r="I155" i="21" a="1"/>
  <c r="I155" i="21" s="1"/>
  <c r="I154" i="21" a="1"/>
  <c r="I154" i="21" s="1"/>
  <c r="G156" i="21" a="1"/>
  <c r="G156" i="21" s="1"/>
  <c r="F156" i="21" a="1"/>
  <c r="F156" i="21" s="1"/>
  <c r="D156" i="21"/>
  <c r="C156" i="21"/>
  <c r="J156" i="21" s="1" a="1"/>
  <c r="J156" i="21" s="1"/>
  <c r="B156" i="21"/>
  <c r="G155" i="21" a="1"/>
  <c r="G155" i="21" s="1"/>
  <c r="F155" i="21" a="1"/>
  <c r="F155" i="21" s="1"/>
  <c r="D155" i="21"/>
  <c r="C155" i="21"/>
  <c r="J155" i="21" s="1" a="1"/>
  <c r="J155" i="21" s="1"/>
  <c r="B155" i="21"/>
  <c r="G154" i="21" a="1"/>
  <c r="G154" i="21" s="1"/>
  <c r="F154" i="21" a="1"/>
  <c r="F154" i="21" s="1"/>
  <c r="D154" i="21"/>
  <c r="C154" i="21"/>
  <c r="J154" i="21" s="1" a="1"/>
  <c r="J154" i="21" s="1"/>
  <c r="B154" i="21"/>
  <c r="G153" i="21" a="1"/>
  <c r="G153" i="21" s="1"/>
  <c r="F153" i="21" a="1"/>
  <c r="F153" i="21" s="1"/>
  <c r="D153" i="21"/>
  <c r="C153" i="21"/>
  <c r="I153" i="21" s="1" a="1"/>
  <c r="I153" i="21" s="1"/>
  <c r="B153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D131" i="21"/>
  <c r="D130" i="21"/>
  <c r="C131" i="21"/>
  <c r="C130" i="21"/>
  <c r="B131" i="21"/>
  <c r="B130" i="21"/>
  <c r="D127" i="21"/>
  <c r="C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W117" i="19"/>
  <c r="V117" i="19"/>
  <c r="U117" i="19"/>
  <c r="T117" i="19"/>
  <c r="S117" i="19"/>
  <c r="R117" i="19"/>
  <c r="Q117" i="19"/>
  <c r="P117" i="19"/>
  <c r="W116" i="19"/>
  <c r="V116" i="19"/>
  <c r="U116" i="19"/>
  <c r="T116" i="19"/>
  <c r="S116" i="19"/>
  <c r="R116" i="19"/>
  <c r="Q116" i="19"/>
  <c r="P116" i="19"/>
  <c r="W115" i="19"/>
  <c r="V115" i="19"/>
  <c r="U115" i="19"/>
  <c r="T115" i="19"/>
  <c r="S115" i="19"/>
  <c r="R115" i="19"/>
  <c r="Q115" i="19"/>
  <c r="P115" i="19"/>
  <c r="W114" i="19"/>
  <c r="V114" i="19"/>
  <c r="U114" i="19"/>
  <c r="T114" i="19"/>
  <c r="S114" i="19"/>
  <c r="R114" i="19"/>
  <c r="Q114" i="19"/>
  <c r="P114" i="19"/>
  <c r="W113" i="19"/>
  <c r="V113" i="19"/>
  <c r="U113" i="19"/>
  <c r="T113" i="19"/>
  <c r="S113" i="19"/>
  <c r="R113" i="19"/>
  <c r="Q113" i="19"/>
  <c r="P113" i="19"/>
  <c r="W112" i="19"/>
  <c r="V112" i="19"/>
  <c r="U112" i="19"/>
  <c r="T112" i="19"/>
  <c r="S112" i="19"/>
  <c r="R112" i="19"/>
  <c r="Q112" i="19"/>
  <c r="P112" i="19"/>
  <c r="W111" i="19"/>
  <c r="V111" i="19"/>
  <c r="U111" i="19"/>
  <c r="T111" i="19"/>
  <c r="S111" i="19"/>
  <c r="R111" i="19"/>
  <c r="Q111" i="19"/>
  <c r="P111" i="19"/>
  <c r="W110" i="19"/>
  <c r="V110" i="19"/>
  <c r="U110" i="19"/>
  <c r="T110" i="19"/>
  <c r="S110" i="19"/>
  <c r="R110" i="19"/>
  <c r="Q110" i="19"/>
  <c r="P110" i="19"/>
  <c r="W109" i="19"/>
  <c r="V109" i="19"/>
  <c r="U109" i="19"/>
  <c r="T109" i="19"/>
  <c r="S109" i="19"/>
  <c r="R109" i="19"/>
  <c r="Q109" i="19"/>
  <c r="P109" i="19"/>
  <c r="W108" i="19"/>
  <c r="V108" i="19"/>
  <c r="U108" i="19"/>
  <c r="T108" i="19"/>
  <c r="S108" i="19"/>
  <c r="R108" i="19"/>
  <c r="Q108" i="19"/>
  <c r="P108" i="19"/>
  <c r="W107" i="19"/>
  <c r="V107" i="19"/>
  <c r="U107" i="19"/>
  <c r="T107" i="19"/>
  <c r="S107" i="19"/>
  <c r="R107" i="19"/>
  <c r="Q107" i="19"/>
  <c r="P107" i="19"/>
  <c r="W106" i="19"/>
  <c r="V106" i="19"/>
  <c r="U106" i="19"/>
  <c r="T106" i="19"/>
  <c r="S106" i="19"/>
  <c r="R106" i="19"/>
  <c r="Q106" i="19"/>
  <c r="P106" i="19"/>
  <c r="W105" i="19"/>
  <c r="V105" i="19"/>
  <c r="U105" i="19"/>
  <c r="T105" i="19"/>
  <c r="S105" i="19"/>
  <c r="R105" i="19"/>
  <c r="Q105" i="19"/>
  <c r="P105" i="19"/>
  <c r="W104" i="19"/>
  <c r="V104" i="19"/>
  <c r="U104" i="19"/>
  <c r="T104" i="19"/>
  <c r="S104" i="19"/>
  <c r="R104" i="19"/>
  <c r="Q104" i="19"/>
  <c r="P104" i="19"/>
  <c r="W103" i="19"/>
  <c r="V103" i="19"/>
  <c r="U103" i="19"/>
  <c r="T103" i="19"/>
  <c r="S103" i="19"/>
  <c r="R103" i="19"/>
  <c r="Q103" i="19"/>
  <c r="P103" i="19"/>
  <c r="W102" i="19"/>
  <c r="V102" i="19"/>
  <c r="U102" i="19"/>
  <c r="T102" i="19"/>
  <c r="S102" i="19"/>
  <c r="R102" i="19"/>
  <c r="Q102" i="19"/>
  <c r="P102" i="19"/>
  <c r="W101" i="19"/>
  <c r="V101" i="19"/>
  <c r="U101" i="19"/>
  <c r="T101" i="19"/>
  <c r="S101" i="19"/>
  <c r="R101" i="19"/>
  <c r="Q101" i="19"/>
  <c r="P101" i="19"/>
  <c r="W100" i="19"/>
  <c r="V100" i="19"/>
  <c r="U100" i="19"/>
  <c r="T100" i="19"/>
  <c r="S100" i="19"/>
  <c r="R100" i="19"/>
  <c r="Q100" i="19"/>
  <c r="P100" i="19"/>
  <c r="W99" i="19"/>
  <c r="V99" i="19"/>
  <c r="U99" i="19"/>
  <c r="T99" i="19"/>
  <c r="S99" i="19"/>
  <c r="R99" i="19"/>
  <c r="Q99" i="19"/>
  <c r="P99" i="19"/>
  <c r="W98" i="19"/>
  <c r="V98" i="19"/>
  <c r="U98" i="19"/>
  <c r="T98" i="19"/>
  <c r="S98" i="19"/>
  <c r="R98" i="19"/>
  <c r="Q98" i="19"/>
  <c r="P98" i="19"/>
  <c r="W97" i="19"/>
  <c r="V97" i="19"/>
  <c r="U97" i="19"/>
  <c r="T97" i="19"/>
  <c r="S97" i="19"/>
  <c r="R97" i="19"/>
  <c r="Q97" i="19"/>
  <c r="P97" i="19"/>
  <c r="W96" i="19"/>
  <c r="V96" i="19"/>
  <c r="U96" i="19"/>
  <c r="T96" i="19"/>
  <c r="S96" i="19"/>
  <c r="R96" i="19"/>
  <c r="Q96" i="19"/>
  <c r="P96" i="19"/>
  <c r="W95" i="19"/>
  <c r="V95" i="19"/>
  <c r="U95" i="19"/>
  <c r="T95" i="19"/>
  <c r="S95" i="19"/>
  <c r="R95" i="19"/>
  <c r="Q95" i="19"/>
  <c r="P95" i="19"/>
  <c r="W94" i="19"/>
  <c r="V94" i="19"/>
  <c r="U94" i="19"/>
  <c r="T94" i="19"/>
  <c r="S94" i="19"/>
  <c r="R94" i="19"/>
  <c r="Q94" i="19"/>
  <c r="P94" i="19"/>
  <c r="W93" i="19"/>
  <c r="V93" i="19"/>
  <c r="U93" i="19"/>
  <c r="T93" i="19"/>
  <c r="S93" i="19"/>
  <c r="R93" i="19"/>
  <c r="Q93" i="19"/>
  <c r="P93" i="19"/>
  <c r="W92" i="19"/>
  <c r="V92" i="19"/>
  <c r="U92" i="19"/>
  <c r="T92" i="19"/>
  <c r="S92" i="19"/>
  <c r="R92" i="19"/>
  <c r="Q92" i="19"/>
  <c r="P92" i="19"/>
  <c r="W91" i="19"/>
  <c r="V91" i="19"/>
  <c r="U91" i="19"/>
  <c r="T91" i="19"/>
  <c r="S91" i="19"/>
  <c r="R91" i="19"/>
  <c r="Q91" i="19"/>
  <c r="P91" i="19"/>
  <c r="W90" i="19"/>
  <c r="V90" i="19"/>
  <c r="U90" i="19"/>
  <c r="T90" i="19"/>
  <c r="S90" i="19"/>
  <c r="R90" i="19"/>
  <c r="Q90" i="19"/>
  <c r="P90" i="19"/>
  <c r="W89" i="19"/>
  <c r="V89" i="19"/>
  <c r="U89" i="19"/>
  <c r="T89" i="19"/>
  <c r="S89" i="19"/>
  <c r="R89" i="19"/>
  <c r="Q89" i="19"/>
  <c r="P89" i="19"/>
  <c r="W88" i="19"/>
  <c r="V88" i="19"/>
  <c r="U88" i="19"/>
  <c r="T88" i="19"/>
  <c r="S88" i="19"/>
  <c r="R88" i="19"/>
  <c r="Q88" i="19"/>
  <c r="P88" i="19"/>
  <c r="W87" i="19"/>
  <c r="V87" i="19"/>
  <c r="U87" i="19"/>
  <c r="T87" i="19"/>
  <c r="S87" i="19"/>
  <c r="R87" i="19"/>
  <c r="Q87" i="19"/>
  <c r="P87" i="19"/>
  <c r="W86" i="19"/>
  <c r="V86" i="19"/>
  <c r="U86" i="19"/>
  <c r="T86" i="19"/>
  <c r="S86" i="19"/>
  <c r="R86" i="19"/>
  <c r="Q86" i="19"/>
  <c r="P86" i="19"/>
  <c r="W85" i="19"/>
  <c r="V85" i="19"/>
  <c r="U85" i="19"/>
  <c r="T85" i="19"/>
  <c r="S85" i="19"/>
  <c r="R85" i="19"/>
  <c r="Q85" i="19"/>
  <c r="P85" i="19"/>
  <c r="W84" i="19"/>
  <c r="V84" i="19"/>
  <c r="U84" i="19"/>
  <c r="T84" i="19"/>
  <c r="S84" i="19"/>
  <c r="R84" i="19"/>
  <c r="Q84" i="19"/>
  <c r="P84" i="19"/>
  <c r="W83" i="19"/>
  <c r="V83" i="19"/>
  <c r="U83" i="19"/>
  <c r="T83" i="19"/>
  <c r="S83" i="19"/>
  <c r="R83" i="19"/>
  <c r="Q83" i="19"/>
  <c r="P83" i="19"/>
  <c r="W82" i="19"/>
  <c r="V82" i="19"/>
  <c r="U82" i="19"/>
  <c r="T82" i="19"/>
  <c r="S82" i="19"/>
  <c r="R82" i="19"/>
  <c r="Q82" i="19"/>
  <c r="P82" i="19"/>
  <c r="W81" i="19"/>
  <c r="V81" i="19"/>
  <c r="U81" i="19"/>
  <c r="T81" i="19"/>
  <c r="S81" i="19"/>
  <c r="R81" i="19"/>
  <c r="Q81" i="19"/>
  <c r="P81" i="19"/>
  <c r="W80" i="19"/>
  <c r="V80" i="19"/>
  <c r="U80" i="19"/>
  <c r="T80" i="19"/>
  <c r="S80" i="19"/>
  <c r="R80" i="19"/>
  <c r="Q80" i="19"/>
  <c r="P80" i="19"/>
  <c r="W79" i="19"/>
  <c r="V79" i="19"/>
  <c r="U79" i="19"/>
  <c r="T79" i="19"/>
  <c r="S79" i="19"/>
  <c r="R79" i="19"/>
  <c r="Q79" i="19"/>
  <c r="P79" i="19"/>
  <c r="W78" i="19"/>
  <c r="V78" i="19"/>
  <c r="U78" i="19"/>
  <c r="T78" i="19"/>
  <c r="S78" i="19"/>
  <c r="R78" i="19"/>
  <c r="Q78" i="19"/>
  <c r="P78" i="19"/>
  <c r="W77" i="19"/>
  <c r="V77" i="19"/>
  <c r="U77" i="19"/>
  <c r="T77" i="19"/>
  <c r="S77" i="19"/>
  <c r="R77" i="19"/>
  <c r="Q77" i="19"/>
  <c r="P77" i="19"/>
  <c r="W76" i="19"/>
  <c r="V76" i="19"/>
  <c r="U76" i="19"/>
  <c r="T76" i="19"/>
  <c r="S76" i="19"/>
  <c r="R76" i="19"/>
  <c r="Q76" i="19"/>
  <c r="P76" i="19"/>
  <c r="W75" i="19"/>
  <c r="V75" i="19"/>
  <c r="U75" i="19"/>
  <c r="T75" i="19"/>
  <c r="S75" i="19"/>
  <c r="R75" i="19"/>
  <c r="Q75" i="19"/>
  <c r="P75" i="19"/>
  <c r="W74" i="19"/>
  <c r="V74" i="19"/>
  <c r="U74" i="19"/>
  <c r="T74" i="19"/>
  <c r="S74" i="19"/>
  <c r="R74" i="19"/>
  <c r="Q74" i="19"/>
  <c r="P74" i="19"/>
  <c r="W73" i="19"/>
  <c r="V73" i="19"/>
  <c r="U73" i="19"/>
  <c r="T73" i="19"/>
  <c r="S73" i="19"/>
  <c r="R73" i="19"/>
  <c r="Q73" i="19"/>
  <c r="P73" i="19"/>
  <c r="W72" i="19"/>
  <c r="V72" i="19"/>
  <c r="U72" i="19"/>
  <c r="T72" i="19"/>
  <c r="S72" i="19"/>
  <c r="R72" i="19"/>
  <c r="Q72" i="19"/>
  <c r="P72" i="19"/>
  <c r="W71" i="19"/>
  <c r="V71" i="19"/>
  <c r="U71" i="19"/>
  <c r="T71" i="19"/>
  <c r="S71" i="19"/>
  <c r="R71" i="19"/>
  <c r="Q71" i="19"/>
  <c r="P71" i="19"/>
  <c r="W70" i="19"/>
  <c r="V70" i="19"/>
  <c r="U70" i="19"/>
  <c r="T70" i="19"/>
  <c r="S70" i="19"/>
  <c r="R70" i="19"/>
  <c r="Q70" i="19"/>
  <c r="P70" i="19"/>
  <c r="W69" i="19"/>
  <c r="V69" i="19"/>
  <c r="U69" i="19"/>
  <c r="T69" i="19"/>
  <c r="S69" i="19"/>
  <c r="R69" i="19"/>
  <c r="Q69" i="19"/>
  <c r="P69" i="19"/>
  <c r="W68" i="19"/>
  <c r="V68" i="19"/>
  <c r="U68" i="19"/>
  <c r="T68" i="19"/>
  <c r="S68" i="19"/>
  <c r="R68" i="19"/>
  <c r="Q68" i="19"/>
  <c r="P68" i="19"/>
  <c r="W67" i="19"/>
  <c r="V67" i="19"/>
  <c r="U67" i="19"/>
  <c r="T67" i="19"/>
  <c r="S67" i="19"/>
  <c r="R67" i="19"/>
  <c r="Q67" i="19"/>
  <c r="P67" i="19"/>
  <c r="W66" i="19"/>
  <c r="V66" i="19"/>
  <c r="U66" i="19"/>
  <c r="T66" i="19"/>
  <c r="S66" i="19"/>
  <c r="R66" i="19"/>
  <c r="Q66" i="19"/>
  <c r="P66" i="19"/>
  <c r="W65" i="19"/>
  <c r="V65" i="19"/>
  <c r="U65" i="19"/>
  <c r="T65" i="19"/>
  <c r="S65" i="19"/>
  <c r="R65" i="19"/>
  <c r="Q65" i="19"/>
  <c r="P65" i="19"/>
  <c r="W64" i="19"/>
  <c r="V64" i="19"/>
  <c r="U64" i="19"/>
  <c r="T64" i="19"/>
  <c r="S64" i="19"/>
  <c r="R64" i="19"/>
  <c r="Q64" i="19"/>
  <c r="P64" i="19"/>
  <c r="W63" i="19"/>
  <c r="V63" i="19"/>
  <c r="U63" i="19"/>
  <c r="T63" i="19"/>
  <c r="S63" i="19"/>
  <c r="R63" i="19"/>
  <c r="Q63" i="19"/>
  <c r="P63" i="19"/>
  <c r="W62" i="19"/>
  <c r="V62" i="19"/>
  <c r="U62" i="19"/>
  <c r="T62" i="19"/>
  <c r="S62" i="19"/>
  <c r="R62" i="19"/>
  <c r="Q62" i="19"/>
  <c r="P62" i="19"/>
  <c r="W61" i="19"/>
  <c r="V61" i="19"/>
  <c r="U61" i="19"/>
  <c r="T61" i="19"/>
  <c r="S61" i="19"/>
  <c r="R61" i="19"/>
  <c r="Q61" i="19"/>
  <c r="P61" i="19"/>
  <c r="W60" i="19"/>
  <c r="V60" i="19"/>
  <c r="U60" i="19"/>
  <c r="T60" i="19"/>
  <c r="S60" i="19"/>
  <c r="R60" i="19"/>
  <c r="Q60" i="19"/>
  <c r="P60" i="19"/>
  <c r="W59" i="19"/>
  <c r="V59" i="19"/>
  <c r="U59" i="19"/>
  <c r="T59" i="19"/>
  <c r="S59" i="19"/>
  <c r="R59" i="19"/>
  <c r="Q59" i="19"/>
  <c r="P59" i="19"/>
  <c r="W58" i="19"/>
  <c r="V58" i="19"/>
  <c r="U58" i="19"/>
  <c r="T58" i="19"/>
  <c r="S58" i="19"/>
  <c r="R58" i="19"/>
  <c r="Q58" i="19"/>
  <c r="P58" i="19"/>
  <c r="W57" i="19"/>
  <c r="V57" i="19"/>
  <c r="U57" i="19"/>
  <c r="T57" i="19"/>
  <c r="S57" i="19"/>
  <c r="R57" i="19"/>
  <c r="Q57" i="19"/>
  <c r="P57" i="19"/>
  <c r="W56" i="19"/>
  <c r="V56" i="19"/>
  <c r="U56" i="19"/>
  <c r="T56" i="19"/>
  <c r="S56" i="19"/>
  <c r="R56" i="19"/>
  <c r="Q56" i="19"/>
  <c r="P56" i="19"/>
  <c r="W55" i="19"/>
  <c r="V55" i="19"/>
  <c r="U55" i="19"/>
  <c r="T55" i="19"/>
  <c r="S55" i="19"/>
  <c r="R55" i="19"/>
  <c r="Q55" i="19"/>
  <c r="P55" i="19"/>
  <c r="W54" i="19"/>
  <c r="V54" i="19"/>
  <c r="U54" i="19"/>
  <c r="T54" i="19"/>
  <c r="S54" i="19"/>
  <c r="R54" i="19"/>
  <c r="Q54" i="19"/>
  <c r="P54" i="19"/>
  <c r="W53" i="19"/>
  <c r="V53" i="19"/>
  <c r="U53" i="19"/>
  <c r="T53" i="19"/>
  <c r="S53" i="19"/>
  <c r="R53" i="19"/>
  <c r="Q53" i="19"/>
  <c r="P53" i="19"/>
  <c r="W52" i="19"/>
  <c r="V52" i="19"/>
  <c r="U52" i="19"/>
  <c r="T52" i="19"/>
  <c r="S52" i="19"/>
  <c r="R52" i="19"/>
  <c r="Q52" i="19"/>
  <c r="P52" i="19"/>
  <c r="W51" i="19"/>
  <c r="V51" i="19"/>
  <c r="U51" i="19"/>
  <c r="T51" i="19"/>
  <c r="S51" i="19"/>
  <c r="R51" i="19"/>
  <c r="Q51" i="19"/>
  <c r="P51" i="19"/>
  <c r="W50" i="19"/>
  <c r="V50" i="19"/>
  <c r="U50" i="19"/>
  <c r="T50" i="19"/>
  <c r="S50" i="19"/>
  <c r="R50" i="19"/>
  <c r="Q50" i="19"/>
  <c r="P50" i="19"/>
  <c r="W49" i="19"/>
  <c r="V49" i="19"/>
  <c r="U49" i="19"/>
  <c r="T49" i="19"/>
  <c r="S49" i="19"/>
  <c r="R49" i="19"/>
  <c r="Q49" i="19"/>
  <c r="P49" i="19"/>
  <c r="W48" i="19"/>
  <c r="V48" i="19"/>
  <c r="U48" i="19"/>
  <c r="T48" i="19"/>
  <c r="S48" i="19"/>
  <c r="R48" i="19"/>
  <c r="Q48" i="19"/>
  <c r="P48" i="19"/>
  <c r="W47" i="19"/>
  <c r="V47" i="19"/>
  <c r="U47" i="19"/>
  <c r="T47" i="19"/>
  <c r="S47" i="19"/>
  <c r="R47" i="19"/>
  <c r="Q47" i="19"/>
  <c r="P47" i="19"/>
  <c r="W46" i="19"/>
  <c r="V46" i="19"/>
  <c r="U46" i="19"/>
  <c r="T46" i="19"/>
  <c r="S46" i="19"/>
  <c r="R46" i="19"/>
  <c r="Q46" i="19"/>
  <c r="P46" i="19"/>
  <c r="W45" i="19"/>
  <c r="V45" i="19"/>
  <c r="U45" i="19"/>
  <c r="T45" i="19"/>
  <c r="S45" i="19"/>
  <c r="R45" i="19"/>
  <c r="Q45" i="19"/>
  <c r="P45" i="19"/>
  <c r="W44" i="19"/>
  <c r="V44" i="19"/>
  <c r="U44" i="19"/>
  <c r="T44" i="19"/>
  <c r="S44" i="19"/>
  <c r="R44" i="19"/>
  <c r="Q44" i="19"/>
  <c r="P44" i="19"/>
  <c r="W43" i="19"/>
  <c r="V43" i="19"/>
  <c r="U43" i="19"/>
  <c r="T43" i="19"/>
  <c r="S43" i="19"/>
  <c r="R43" i="19"/>
  <c r="Q43" i="19"/>
  <c r="P43" i="19"/>
  <c r="W42" i="19"/>
  <c r="V42" i="19"/>
  <c r="U42" i="19"/>
  <c r="T42" i="19"/>
  <c r="S42" i="19"/>
  <c r="R42" i="19"/>
  <c r="Q42" i="19"/>
  <c r="P42" i="19"/>
  <c r="W41" i="19"/>
  <c r="V41" i="19"/>
  <c r="U41" i="19"/>
  <c r="T41" i="19"/>
  <c r="S41" i="19"/>
  <c r="R41" i="19"/>
  <c r="Q41" i="19"/>
  <c r="P41" i="19"/>
  <c r="W40" i="19"/>
  <c r="V40" i="19"/>
  <c r="U40" i="19"/>
  <c r="T40" i="19"/>
  <c r="S40" i="19"/>
  <c r="R40" i="19"/>
  <c r="Q40" i="19"/>
  <c r="P40" i="19"/>
  <c r="W39" i="19"/>
  <c r="V39" i="19"/>
  <c r="U39" i="19"/>
  <c r="T39" i="19"/>
  <c r="S39" i="19"/>
  <c r="R39" i="19"/>
  <c r="Q39" i="19"/>
  <c r="P39" i="19"/>
  <c r="W38" i="19"/>
  <c r="V38" i="19"/>
  <c r="U38" i="19"/>
  <c r="T38" i="19"/>
  <c r="S38" i="19"/>
  <c r="R38" i="19"/>
  <c r="Q38" i="19"/>
  <c r="P38" i="19"/>
  <c r="W37" i="19"/>
  <c r="V37" i="19"/>
  <c r="U37" i="19"/>
  <c r="T37" i="19"/>
  <c r="S37" i="19"/>
  <c r="R37" i="19"/>
  <c r="Q37" i="19"/>
  <c r="P37" i="19"/>
  <c r="W36" i="19"/>
  <c r="V36" i="19"/>
  <c r="U36" i="19"/>
  <c r="T36" i="19"/>
  <c r="S36" i="19"/>
  <c r="R36" i="19"/>
  <c r="Q36" i="19"/>
  <c r="P36" i="19"/>
  <c r="W35" i="19"/>
  <c r="V35" i="19"/>
  <c r="U35" i="19"/>
  <c r="T35" i="19"/>
  <c r="S35" i="19"/>
  <c r="R35" i="19"/>
  <c r="Q35" i="19"/>
  <c r="P35" i="19"/>
  <c r="W34" i="19"/>
  <c r="V34" i="19"/>
  <c r="U34" i="19"/>
  <c r="T34" i="19"/>
  <c r="S34" i="19"/>
  <c r="R34" i="19"/>
  <c r="Q34" i="19"/>
  <c r="P34" i="19"/>
  <c r="W33" i="19"/>
  <c r="V33" i="19"/>
  <c r="U33" i="19"/>
  <c r="T33" i="19"/>
  <c r="S33" i="19"/>
  <c r="R33" i="19"/>
  <c r="Q33" i="19"/>
  <c r="P33" i="19"/>
  <c r="W32" i="19"/>
  <c r="V32" i="19"/>
  <c r="U32" i="19"/>
  <c r="T32" i="19"/>
  <c r="S32" i="19"/>
  <c r="R32" i="19"/>
  <c r="Q32" i="19"/>
  <c r="P32" i="19"/>
  <c r="W31" i="19"/>
  <c r="V31" i="19"/>
  <c r="U31" i="19"/>
  <c r="T31" i="19"/>
  <c r="S31" i="19"/>
  <c r="R31" i="19"/>
  <c r="Q31" i="19"/>
  <c r="P31" i="19"/>
  <c r="W30" i="19"/>
  <c r="V30" i="19"/>
  <c r="U30" i="19"/>
  <c r="T30" i="19"/>
  <c r="S30" i="19"/>
  <c r="R30" i="19"/>
  <c r="Q30" i="19"/>
  <c r="P30" i="19"/>
  <c r="W29" i="19"/>
  <c r="V29" i="19"/>
  <c r="U29" i="19"/>
  <c r="T29" i="19"/>
  <c r="S29" i="19"/>
  <c r="R29" i="19"/>
  <c r="Q29" i="19"/>
  <c r="P29" i="19"/>
  <c r="W28" i="19"/>
  <c r="V28" i="19"/>
  <c r="U28" i="19"/>
  <c r="T28" i="19"/>
  <c r="S28" i="19"/>
  <c r="R28" i="19"/>
  <c r="Q28" i="19"/>
  <c r="P28" i="19"/>
  <c r="W27" i="19"/>
  <c r="V27" i="19"/>
  <c r="U27" i="19"/>
  <c r="T27" i="19"/>
  <c r="S27" i="19"/>
  <c r="R27" i="19"/>
  <c r="Q27" i="19"/>
  <c r="P27" i="19"/>
  <c r="W26" i="19"/>
  <c r="V26" i="19"/>
  <c r="U26" i="19"/>
  <c r="T26" i="19"/>
  <c r="S26" i="19"/>
  <c r="R26" i="19"/>
  <c r="Q26" i="19"/>
  <c r="P26" i="19"/>
  <c r="W25" i="19"/>
  <c r="V25" i="19"/>
  <c r="U25" i="19"/>
  <c r="T25" i="19"/>
  <c r="S25" i="19"/>
  <c r="R25" i="19"/>
  <c r="Q25" i="19"/>
  <c r="P25" i="19"/>
  <c r="W24" i="19"/>
  <c r="V24" i="19"/>
  <c r="U24" i="19"/>
  <c r="T24" i="19"/>
  <c r="S24" i="19"/>
  <c r="R24" i="19"/>
  <c r="Q24" i="19"/>
  <c r="P24" i="19"/>
  <c r="W23" i="19"/>
  <c r="V23" i="19"/>
  <c r="U23" i="19"/>
  <c r="T23" i="19"/>
  <c r="S23" i="19"/>
  <c r="R23" i="19"/>
  <c r="Q23" i="19"/>
  <c r="P23" i="19"/>
  <c r="W22" i="19"/>
  <c r="V22" i="19"/>
  <c r="U22" i="19"/>
  <c r="T22" i="19"/>
  <c r="S22" i="19"/>
  <c r="R22" i="19"/>
  <c r="Q22" i="19"/>
  <c r="P22" i="19"/>
  <c r="W21" i="19"/>
  <c r="V21" i="19"/>
  <c r="U21" i="19"/>
  <c r="T21" i="19"/>
  <c r="S21" i="19"/>
  <c r="R21" i="19"/>
  <c r="Q21" i="19"/>
  <c r="P21" i="19"/>
  <c r="W20" i="19"/>
  <c r="V20" i="19"/>
  <c r="U20" i="19"/>
  <c r="T20" i="19"/>
  <c r="S20" i="19"/>
  <c r="R20" i="19"/>
  <c r="Q20" i="19"/>
  <c r="P20" i="19"/>
  <c r="W19" i="19"/>
  <c r="V19" i="19"/>
  <c r="U19" i="19"/>
  <c r="T19" i="19"/>
  <c r="S19" i="19"/>
  <c r="R19" i="19"/>
  <c r="Q19" i="19"/>
  <c r="P19" i="19"/>
  <c r="W18" i="19"/>
  <c r="V18" i="19"/>
  <c r="U18" i="19"/>
  <c r="T18" i="19"/>
  <c r="S18" i="19"/>
  <c r="R18" i="19"/>
  <c r="Q18" i="19"/>
  <c r="P18" i="19"/>
  <c r="W17" i="19"/>
  <c r="V17" i="19"/>
  <c r="U17" i="19"/>
  <c r="T17" i="19"/>
  <c r="S17" i="19"/>
  <c r="R17" i="19"/>
  <c r="Q17" i="19"/>
  <c r="P17" i="19"/>
  <c r="W16" i="19"/>
  <c r="V16" i="19"/>
  <c r="U16" i="19"/>
  <c r="T16" i="19"/>
  <c r="S16" i="19"/>
  <c r="R16" i="19"/>
  <c r="Q16" i="19"/>
  <c r="P16" i="19"/>
  <c r="W15" i="19"/>
  <c r="V15" i="19"/>
  <c r="U15" i="19"/>
  <c r="T15" i="19"/>
  <c r="S15" i="19"/>
  <c r="R15" i="19"/>
  <c r="Q15" i="19"/>
  <c r="P15" i="19"/>
  <c r="W14" i="19"/>
  <c r="V14" i="19"/>
  <c r="U14" i="19"/>
  <c r="T14" i="19"/>
  <c r="S14" i="19"/>
  <c r="R14" i="19"/>
  <c r="Q14" i="19"/>
  <c r="P14" i="19"/>
  <c r="W13" i="19"/>
  <c r="V13" i="19"/>
  <c r="U13" i="19"/>
  <c r="T13" i="19"/>
  <c r="S13" i="19"/>
  <c r="R13" i="19"/>
  <c r="Q13" i="19"/>
  <c r="P13" i="19"/>
  <c r="W12" i="19"/>
  <c r="V12" i="19"/>
  <c r="U12" i="19"/>
  <c r="T12" i="19"/>
  <c r="S12" i="19"/>
  <c r="R12" i="19"/>
  <c r="Q12" i="19"/>
  <c r="P12" i="19"/>
  <c r="W11" i="19"/>
  <c r="V11" i="19"/>
  <c r="U11" i="19"/>
  <c r="T11" i="19"/>
  <c r="S11" i="19"/>
  <c r="R11" i="19"/>
  <c r="Q11" i="19"/>
  <c r="P11" i="19"/>
  <c r="W10" i="19"/>
  <c r="V10" i="19"/>
  <c r="U10" i="19"/>
  <c r="T10" i="19"/>
  <c r="S10" i="19"/>
  <c r="R10" i="19"/>
  <c r="Q10" i="19"/>
  <c r="P10" i="19"/>
  <c r="W9" i="19"/>
  <c r="V9" i="19"/>
  <c r="U9" i="19"/>
  <c r="T9" i="19"/>
  <c r="S9" i="19"/>
  <c r="R9" i="19"/>
  <c r="Q9" i="19"/>
  <c r="P9" i="19"/>
  <c r="W8" i="19"/>
  <c r="V8" i="19"/>
  <c r="U8" i="19"/>
  <c r="T8" i="19"/>
  <c r="S8" i="19"/>
  <c r="R8" i="19"/>
  <c r="Q8" i="19"/>
  <c r="P8" i="19"/>
  <c r="W7" i="19"/>
  <c r="V7" i="19"/>
  <c r="U7" i="19"/>
  <c r="T7" i="19"/>
  <c r="S7" i="19"/>
  <c r="R7" i="19"/>
  <c r="Q7" i="19"/>
  <c r="P7" i="19"/>
  <c r="W6" i="19"/>
  <c r="V6" i="19"/>
  <c r="U6" i="19"/>
  <c r="T6" i="19"/>
  <c r="S6" i="19"/>
  <c r="R6" i="19"/>
  <c r="Q6" i="19"/>
  <c r="P6" i="19"/>
  <c r="W5" i="19"/>
  <c r="V5" i="19"/>
  <c r="U5" i="19"/>
  <c r="T5" i="19"/>
  <c r="S5" i="19"/>
  <c r="R5" i="19"/>
  <c r="Q5" i="19"/>
  <c r="P5" i="19"/>
  <c r="W4" i="19"/>
  <c r="V4" i="19"/>
  <c r="U4" i="19"/>
  <c r="T4" i="19"/>
  <c r="S4" i="19"/>
  <c r="R4" i="19"/>
  <c r="Q4" i="19"/>
  <c r="P4" i="19"/>
  <c r="W3" i="19"/>
  <c r="V3" i="19"/>
  <c r="U3" i="19"/>
  <c r="T3" i="19"/>
  <c r="S3" i="19"/>
  <c r="R3" i="19"/>
  <c r="Q3" i="19"/>
  <c r="P3" i="19"/>
  <c r="W2" i="19"/>
  <c r="V2" i="19"/>
  <c r="U2" i="19"/>
  <c r="T2" i="19"/>
  <c r="S2" i="19"/>
  <c r="R2" i="19"/>
  <c r="Q2" i="19"/>
  <c r="P2" i="19"/>
  <c r="K126" i="19"/>
  <c r="J126" i="19"/>
  <c r="K125" i="19"/>
  <c r="J125" i="19"/>
  <c r="K124" i="19"/>
  <c r="J124" i="19"/>
  <c r="K123" i="19"/>
  <c r="J123" i="19"/>
  <c r="K122" i="19"/>
  <c r="J122" i="19"/>
  <c r="K121" i="19"/>
  <c r="J121" i="19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I1434" i="1"/>
  <c r="I1433" i="1"/>
  <c r="I1432" i="1"/>
  <c r="H1434" i="1"/>
  <c r="H1433" i="1"/>
  <c r="H1432" i="1"/>
  <c r="I1431" i="1"/>
  <c r="I1430" i="1"/>
  <c r="I1429" i="1"/>
  <c r="I1428" i="1"/>
  <c r="I1427" i="1"/>
  <c r="I1426" i="1"/>
  <c r="I1425" i="1"/>
  <c r="I1424" i="1"/>
  <c r="I1423" i="1"/>
  <c r="I1422" i="1"/>
  <c r="H1431" i="1"/>
  <c r="H1430" i="1"/>
  <c r="H1429" i="1"/>
  <c r="H1428" i="1"/>
  <c r="H1427" i="1"/>
  <c r="H1426" i="1"/>
  <c r="H1425" i="1"/>
  <c r="H1424" i="1"/>
  <c r="H1423" i="1"/>
  <c r="H1422" i="1"/>
  <c r="G125" i="19"/>
  <c r="G124" i="19"/>
  <c r="G123" i="19"/>
  <c r="G122" i="19"/>
  <c r="G12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N1407" i="1"/>
  <c r="L1438" i="1"/>
  <c r="M1407" i="1"/>
  <c r="E1411" i="1" a="1"/>
  <c r="E1411" i="1" s="1"/>
  <c r="E1410" i="1" a="1"/>
  <c r="E1410" i="1" s="1"/>
  <c r="E1409" i="1" a="1"/>
  <c r="E1409" i="1" s="1"/>
  <c r="E1408" i="1" a="1"/>
  <c r="E1408" i="1" s="1"/>
  <c r="E1407" i="1" a="1"/>
  <c r="E1407" i="1" s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N1411" i="1"/>
  <c r="N1410" i="1"/>
  <c r="N1409" i="1"/>
  <c r="N1408" i="1"/>
  <c r="M1411" i="1"/>
  <c r="M1410" i="1"/>
  <c r="M1409" i="1"/>
  <c r="M1408" i="1"/>
  <c r="I1412" i="1"/>
  <c r="H1412" i="1"/>
  <c r="I1411" i="1" a="1"/>
  <c r="I1411" i="1" s="1"/>
  <c r="K1411" i="1" s="1"/>
  <c r="I1410" i="1" a="1"/>
  <c r="I1410" i="1" s="1"/>
  <c r="K1410" i="1" s="1"/>
  <c r="I1409" i="1" a="1"/>
  <c r="I1409" i="1" s="1"/>
  <c r="K1409" i="1" s="1"/>
  <c r="I1408" i="1" a="1"/>
  <c r="I1408" i="1" s="1"/>
  <c r="K1408" i="1" s="1"/>
  <c r="I1407" i="1" a="1"/>
  <c r="I1407" i="1" s="1"/>
  <c r="K1407" i="1" s="1"/>
  <c r="H1411" i="1" a="1"/>
  <c r="H1411" i="1" s="1"/>
  <c r="J1411" i="1" s="1"/>
  <c r="H1410" i="1" a="1"/>
  <c r="H1410" i="1" s="1"/>
  <c r="J1410" i="1" s="1"/>
  <c r="H1409" i="1" a="1"/>
  <c r="H1409" i="1" s="1"/>
  <c r="J1409" i="1" s="1"/>
  <c r="H1408" i="1" a="1"/>
  <c r="H1408" i="1" s="1"/>
  <c r="J1408" i="1" s="1"/>
  <c r="H1407" i="1" a="1"/>
  <c r="H1407" i="1" s="1"/>
  <c r="J1407" i="1" s="1"/>
  <c r="V1356" i="1"/>
  <c r="U1356" i="1"/>
  <c r="T1356" i="1"/>
  <c r="S1356" i="1"/>
  <c r="R1356" i="1"/>
  <c r="Q1356" i="1"/>
  <c r="P1356" i="1"/>
  <c r="O1356" i="1"/>
  <c r="V1355" i="1"/>
  <c r="U1355" i="1"/>
  <c r="T1355" i="1"/>
  <c r="S1355" i="1"/>
  <c r="R1355" i="1"/>
  <c r="Q1355" i="1"/>
  <c r="P1355" i="1"/>
  <c r="O1355" i="1"/>
  <c r="V1354" i="1"/>
  <c r="U1354" i="1"/>
  <c r="T1354" i="1"/>
  <c r="S1354" i="1"/>
  <c r="R1354" i="1"/>
  <c r="Q1354" i="1"/>
  <c r="P1354" i="1"/>
  <c r="O1354" i="1"/>
  <c r="V1353" i="1"/>
  <c r="U1353" i="1"/>
  <c r="T1353" i="1"/>
  <c r="S1353" i="1"/>
  <c r="R1353" i="1"/>
  <c r="Q1353" i="1"/>
  <c r="P1353" i="1"/>
  <c r="O1353" i="1"/>
  <c r="V1352" i="1"/>
  <c r="U1352" i="1"/>
  <c r="T1352" i="1"/>
  <c r="S1352" i="1"/>
  <c r="R1352" i="1"/>
  <c r="Q1352" i="1"/>
  <c r="P1352" i="1"/>
  <c r="O1352" i="1"/>
  <c r="V1351" i="1"/>
  <c r="U1351" i="1"/>
  <c r="T1351" i="1"/>
  <c r="S1351" i="1"/>
  <c r="R1351" i="1"/>
  <c r="Q1351" i="1"/>
  <c r="P1351" i="1"/>
  <c r="O1351" i="1"/>
  <c r="V1350" i="1"/>
  <c r="U1350" i="1"/>
  <c r="T1350" i="1"/>
  <c r="S1350" i="1"/>
  <c r="R1350" i="1"/>
  <c r="Q1350" i="1"/>
  <c r="P1350" i="1"/>
  <c r="O1350" i="1"/>
  <c r="V1349" i="1"/>
  <c r="U1349" i="1"/>
  <c r="T1349" i="1"/>
  <c r="S1349" i="1"/>
  <c r="R1349" i="1"/>
  <c r="Q1349" i="1"/>
  <c r="P1349" i="1"/>
  <c r="O1349" i="1"/>
  <c r="V1348" i="1"/>
  <c r="U1348" i="1"/>
  <c r="T1348" i="1"/>
  <c r="S1348" i="1"/>
  <c r="R1348" i="1"/>
  <c r="Q1348" i="1"/>
  <c r="P1348" i="1"/>
  <c r="O1348" i="1"/>
  <c r="V1347" i="1"/>
  <c r="U1347" i="1"/>
  <c r="T1347" i="1"/>
  <c r="S1347" i="1"/>
  <c r="R1347" i="1"/>
  <c r="Q1347" i="1"/>
  <c r="P1347" i="1"/>
  <c r="O1347" i="1"/>
  <c r="V1346" i="1"/>
  <c r="U1346" i="1"/>
  <c r="T1346" i="1"/>
  <c r="S1346" i="1"/>
  <c r="R1346" i="1"/>
  <c r="Q1346" i="1"/>
  <c r="P1346" i="1"/>
  <c r="O1346" i="1"/>
  <c r="V1345" i="1"/>
  <c r="U1345" i="1"/>
  <c r="T1345" i="1"/>
  <c r="S1345" i="1"/>
  <c r="R1345" i="1"/>
  <c r="Q1345" i="1"/>
  <c r="P1345" i="1"/>
  <c r="O1345" i="1"/>
  <c r="V1344" i="1"/>
  <c r="U1344" i="1"/>
  <c r="T1344" i="1"/>
  <c r="S1344" i="1"/>
  <c r="R1344" i="1"/>
  <c r="Q1344" i="1"/>
  <c r="P1344" i="1"/>
  <c r="O1344" i="1"/>
  <c r="V1343" i="1"/>
  <c r="U1343" i="1"/>
  <c r="T1343" i="1"/>
  <c r="S1343" i="1"/>
  <c r="R1343" i="1"/>
  <c r="Q1343" i="1"/>
  <c r="P1343" i="1"/>
  <c r="O1343" i="1"/>
  <c r="V1342" i="1"/>
  <c r="U1342" i="1"/>
  <c r="T1342" i="1"/>
  <c r="S1342" i="1"/>
  <c r="R1342" i="1"/>
  <c r="Q1342" i="1"/>
  <c r="P1342" i="1"/>
  <c r="O1342" i="1"/>
  <c r="V1341" i="1"/>
  <c r="U1341" i="1"/>
  <c r="T1341" i="1"/>
  <c r="S1341" i="1"/>
  <c r="R1341" i="1"/>
  <c r="Q1341" i="1"/>
  <c r="P1341" i="1"/>
  <c r="O1341" i="1"/>
  <c r="V1340" i="1"/>
  <c r="U1340" i="1"/>
  <c r="T1340" i="1"/>
  <c r="S1340" i="1"/>
  <c r="R1340" i="1"/>
  <c r="Q1340" i="1"/>
  <c r="P1340" i="1"/>
  <c r="O1340" i="1"/>
  <c r="V1339" i="1"/>
  <c r="U1339" i="1"/>
  <c r="T1339" i="1"/>
  <c r="S1339" i="1"/>
  <c r="R1339" i="1"/>
  <c r="Q1339" i="1"/>
  <c r="P1339" i="1"/>
  <c r="O1339" i="1"/>
  <c r="V1338" i="1"/>
  <c r="U1338" i="1"/>
  <c r="T1338" i="1"/>
  <c r="S1338" i="1"/>
  <c r="R1338" i="1"/>
  <c r="Q1338" i="1"/>
  <c r="P1338" i="1"/>
  <c r="O1338" i="1"/>
  <c r="V1337" i="1"/>
  <c r="U1337" i="1"/>
  <c r="T1337" i="1"/>
  <c r="S1337" i="1"/>
  <c r="R1337" i="1"/>
  <c r="Q1337" i="1"/>
  <c r="P1337" i="1"/>
  <c r="O1337" i="1"/>
  <c r="V1336" i="1"/>
  <c r="U1336" i="1"/>
  <c r="T1336" i="1"/>
  <c r="S1336" i="1"/>
  <c r="R1336" i="1"/>
  <c r="Q1336" i="1"/>
  <c r="P1336" i="1"/>
  <c r="O1336" i="1"/>
  <c r="V1335" i="1"/>
  <c r="U1335" i="1"/>
  <c r="T1335" i="1"/>
  <c r="S1335" i="1"/>
  <c r="R1335" i="1"/>
  <c r="Q1335" i="1"/>
  <c r="P1335" i="1"/>
  <c r="O1335" i="1"/>
  <c r="V1334" i="1"/>
  <c r="U1334" i="1"/>
  <c r="T1334" i="1"/>
  <c r="S1334" i="1"/>
  <c r="R1334" i="1"/>
  <c r="Q1334" i="1"/>
  <c r="P1334" i="1"/>
  <c r="O1334" i="1"/>
  <c r="V1333" i="1"/>
  <c r="U1333" i="1"/>
  <c r="T1333" i="1"/>
  <c r="S1333" i="1"/>
  <c r="R1333" i="1"/>
  <c r="Q1333" i="1"/>
  <c r="P1333" i="1"/>
  <c r="O1333" i="1"/>
  <c r="V1332" i="1"/>
  <c r="U1332" i="1"/>
  <c r="T1332" i="1"/>
  <c r="S1332" i="1"/>
  <c r="R1332" i="1"/>
  <c r="Q1332" i="1"/>
  <c r="P1332" i="1"/>
  <c r="O1332" i="1"/>
  <c r="V1331" i="1"/>
  <c r="U1331" i="1"/>
  <c r="T1331" i="1"/>
  <c r="S1331" i="1"/>
  <c r="R1331" i="1"/>
  <c r="Q1331" i="1"/>
  <c r="P1331" i="1"/>
  <c r="O1331" i="1"/>
  <c r="V1330" i="1"/>
  <c r="U1330" i="1"/>
  <c r="T1330" i="1"/>
  <c r="S1330" i="1"/>
  <c r="R1330" i="1"/>
  <c r="Q1330" i="1"/>
  <c r="P1330" i="1"/>
  <c r="O1330" i="1"/>
  <c r="V1329" i="1"/>
  <c r="U1329" i="1"/>
  <c r="T1329" i="1"/>
  <c r="S1329" i="1"/>
  <c r="R1329" i="1"/>
  <c r="Q1329" i="1"/>
  <c r="P1329" i="1"/>
  <c r="O1329" i="1"/>
  <c r="V1328" i="1"/>
  <c r="U1328" i="1"/>
  <c r="T1328" i="1"/>
  <c r="S1328" i="1"/>
  <c r="R1328" i="1"/>
  <c r="Q1328" i="1"/>
  <c r="P1328" i="1"/>
  <c r="O1328" i="1"/>
  <c r="V1327" i="1"/>
  <c r="U1327" i="1"/>
  <c r="T1327" i="1"/>
  <c r="S1327" i="1"/>
  <c r="R1327" i="1"/>
  <c r="Q1327" i="1"/>
  <c r="P1327" i="1"/>
  <c r="O1327" i="1"/>
  <c r="V1326" i="1"/>
  <c r="U1326" i="1"/>
  <c r="T1326" i="1"/>
  <c r="S1326" i="1"/>
  <c r="R1326" i="1"/>
  <c r="Q1326" i="1"/>
  <c r="P1326" i="1"/>
  <c r="O1326" i="1"/>
  <c r="V1325" i="1"/>
  <c r="U1325" i="1"/>
  <c r="T1325" i="1"/>
  <c r="S1325" i="1"/>
  <c r="R1325" i="1"/>
  <c r="Q1325" i="1"/>
  <c r="P1325" i="1"/>
  <c r="O1325" i="1"/>
  <c r="V1324" i="1"/>
  <c r="U1324" i="1"/>
  <c r="T1324" i="1"/>
  <c r="S1324" i="1"/>
  <c r="R1324" i="1"/>
  <c r="Q1324" i="1"/>
  <c r="P1324" i="1"/>
  <c r="O1324" i="1"/>
  <c r="V1323" i="1"/>
  <c r="U1323" i="1"/>
  <c r="T1323" i="1"/>
  <c r="S1323" i="1"/>
  <c r="R1323" i="1"/>
  <c r="Q1323" i="1"/>
  <c r="P1323" i="1"/>
  <c r="O1323" i="1"/>
  <c r="V1322" i="1"/>
  <c r="U1322" i="1"/>
  <c r="T1322" i="1"/>
  <c r="S1322" i="1"/>
  <c r="R1322" i="1"/>
  <c r="Q1322" i="1"/>
  <c r="P1322" i="1"/>
  <c r="O1322" i="1"/>
  <c r="V1321" i="1"/>
  <c r="U1321" i="1"/>
  <c r="T1321" i="1"/>
  <c r="S1321" i="1"/>
  <c r="R1321" i="1"/>
  <c r="Q1321" i="1"/>
  <c r="P1321" i="1"/>
  <c r="O1321" i="1"/>
  <c r="V1320" i="1"/>
  <c r="U1320" i="1"/>
  <c r="T1320" i="1"/>
  <c r="S1320" i="1"/>
  <c r="R1320" i="1"/>
  <c r="Q1320" i="1"/>
  <c r="P1320" i="1"/>
  <c r="O1320" i="1"/>
  <c r="V1319" i="1"/>
  <c r="U1319" i="1"/>
  <c r="T1319" i="1"/>
  <c r="S1319" i="1"/>
  <c r="R1319" i="1"/>
  <c r="Q1319" i="1"/>
  <c r="P1319" i="1"/>
  <c r="O1319" i="1"/>
  <c r="V1318" i="1"/>
  <c r="U1318" i="1"/>
  <c r="T1318" i="1"/>
  <c r="S1318" i="1"/>
  <c r="R1318" i="1"/>
  <c r="Q1318" i="1"/>
  <c r="P1318" i="1"/>
  <c r="O1318" i="1"/>
  <c r="V1317" i="1"/>
  <c r="U1317" i="1"/>
  <c r="T1317" i="1"/>
  <c r="S1317" i="1"/>
  <c r="R1317" i="1"/>
  <c r="Q1317" i="1"/>
  <c r="P1317" i="1"/>
  <c r="O1317" i="1"/>
  <c r="V1316" i="1"/>
  <c r="U1316" i="1"/>
  <c r="T1316" i="1"/>
  <c r="S1316" i="1"/>
  <c r="R1316" i="1"/>
  <c r="Q1316" i="1"/>
  <c r="P1316" i="1"/>
  <c r="O1316" i="1"/>
  <c r="V1315" i="1"/>
  <c r="U1315" i="1"/>
  <c r="T1315" i="1"/>
  <c r="S1315" i="1"/>
  <c r="R1315" i="1"/>
  <c r="Q1315" i="1"/>
  <c r="P1315" i="1"/>
  <c r="O1315" i="1"/>
  <c r="V1314" i="1"/>
  <c r="U1314" i="1"/>
  <c r="T1314" i="1"/>
  <c r="S1314" i="1"/>
  <c r="R1314" i="1"/>
  <c r="Q1314" i="1"/>
  <c r="P1314" i="1"/>
  <c r="O1314" i="1"/>
  <c r="V1313" i="1"/>
  <c r="U1313" i="1"/>
  <c r="T1313" i="1"/>
  <c r="S1313" i="1"/>
  <c r="R1313" i="1"/>
  <c r="Q1313" i="1"/>
  <c r="P1313" i="1"/>
  <c r="O1313" i="1"/>
  <c r="V1312" i="1"/>
  <c r="U1312" i="1"/>
  <c r="T1312" i="1"/>
  <c r="S1312" i="1"/>
  <c r="R1312" i="1"/>
  <c r="Q1312" i="1"/>
  <c r="P1312" i="1"/>
  <c r="O1312" i="1"/>
  <c r="V1311" i="1"/>
  <c r="U1311" i="1"/>
  <c r="T1311" i="1"/>
  <c r="S1311" i="1"/>
  <c r="R1311" i="1"/>
  <c r="Q1311" i="1"/>
  <c r="P1311" i="1"/>
  <c r="O1311" i="1"/>
  <c r="V1310" i="1"/>
  <c r="U1310" i="1"/>
  <c r="T1310" i="1"/>
  <c r="S1310" i="1"/>
  <c r="R1310" i="1"/>
  <c r="Q1310" i="1"/>
  <c r="P1310" i="1"/>
  <c r="O1310" i="1"/>
  <c r="V1309" i="1"/>
  <c r="U1309" i="1"/>
  <c r="T1309" i="1"/>
  <c r="S1309" i="1"/>
  <c r="R1309" i="1"/>
  <c r="Q1309" i="1"/>
  <c r="P1309" i="1"/>
  <c r="O1309" i="1"/>
  <c r="V1308" i="1"/>
  <c r="U1308" i="1"/>
  <c r="T1308" i="1"/>
  <c r="S1308" i="1"/>
  <c r="R1308" i="1"/>
  <c r="Q1308" i="1"/>
  <c r="P1308" i="1"/>
  <c r="O1308" i="1"/>
  <c r="V1307" i="1"/>
  <c r="U1307" i="1"/>
  <c r="T1307" i="1"/>
  <c r="S1307" i="1"/>
  <c r="R1307" i="1"/>
  <c r="Q1307" i="1"/>
  <c r="P1307" i="1"/>
  <c r="O1307" i="1"/>
  <c r="V1306" i="1"/>
  <c r="U1306" i="1"/>
  <c r="T1306" i="1"/>
  <c r="S1306" i="1"/>
  <c r="R1306" i="1"/>
  <c r="Q1306" i="1"/>
  <c r="P1306" i="1"/>
  <c r="O1306" i="1"/>
  <c r="V1305" i="1"/>
  <c r="U1305" i="1"/>
  <c r="T1305" i="1"/>
  <c r="S1305" i="1"/>
  <c r="R1305" i="1"/>
  <c r="Q1305" i="1"/>
  <c r="P1305" i="1"/>
  <c r="O1305" i="1"/>
  <c r="V1304" i="1"/>
  <c r="U1304" i="1"/>
  <c r="T1304" i="1"/>
  <c r="S1304" i="1"/>
  <c r="R1304" i="1"/>
  <c r="Q1304" i="1"/>
  <c r="P1304" i="1"/>
  <c r="O1304" i="1"/>
  <c r="V1303" i="1"/>
  <c r="U1303" i="1"/>
  <c r="T1303" i="1"/>
  <c r="S1303" i="1"/>
  <c r="R1303" i="1"/>
  <c r="Q1303" i="1"/>
  <c r="P1303" i="1"/>
  <c r="O1303" i="1"/>
  <c r="V1302" i="1"/>
  <c r="U1302" i="1"/>
  <c r="T1302" i="1"/>
  <c r="S1302" i="1"/>
  <c r="R1302" i="1"/>
  <c r="Q1302" i="1"/>
  <c r="P1302" i="1"/>
  <c r="O1302" i="1"/>
  <c r="V1301" i="1"/>
  <c r="U1301" i="1"/>
  <c r="T1301" i="1"/>
  <c r="S1301" i="1"/>
  <c r="R1301" i="1"/>
  <c r="Q1301" i="1"/>
  <c r="P1301" i="1"/>
  <c r="O1301" i="1"/>
  <c r="V1300" i="1"/>
  <c r="U1300" i="1"/>
  <c r="T1300" i="1"/>
  <c r="S1300" i="1"/>
  <c r="R1300" i="1"/>
  <c r="Q1300" i="1"/>
  <c r="P1300" i="1"/>
  <c r="O1300" i="1"/>
  <c r="V1299" i="1"/>
  <c r="U1299" i="1"/>
  <c r="T1299" i="1"/>
  <c r="S1299" i="1"/>
  <c r="R1299" i="1"/>
  <c r="Q1299" i="1"/>
  <c r="P1299" i="1"/>
  <c r="O1299" i="1"/>
  <c r="V1298" i="1"/>
  <c r="U1298" i="1"/>
  <c r="T1298" i="1"/>
  <c r="S1298" i="1"/>
  <c r="R1298" i="1"/>
  <c r="Q1298" i="1"/>
  <c r="P1298" i="1"/>
  <c r="O1298" i="1"/>
  <c r="V1297" i="1"/>
  <c r="U1297" i="1"/>
  <c r="T1297" i="1"/>
  <c r="S1297" i="1"/>
  <c r="R1297" i="1"/>
  <c r="Q1297" i="1"/>
  <c r="P1297" i="1"/>
  <c r="O1297" i="1"/>
  <c r="V1296" i="1"/>
  <c r="U1296" i="1"/>
  <c r="T1296" i="1"/>
  <c r="S1296" i="1"/>
  <c r="R1296" i="1"/>
  <c r="Q1296" i="1"/>
  <c r="P1296" i="1"/>
  <c r="O1296" i="1"/>
  <c r="V1295" i="1"/>
  <c r="U1295" i="1"/>
  <c r="T1295" i="1"/>
  <c r="S1295" i="1"/>
  <c r="R1295" i="1"/>
  <c r="Q1295" i="1"/>
  <c r="P1295" i="1"/>
  <c r="O1295" i="1"/>
  <c r="V1294" i="1"/>
  <c r="U1294" i="1"/>
  <c r="T1294" i="1"/>
  <c r="S1294" i="1"/>
  <c r="R1294" i="1"/>
  <c r="Q1294" i="1"/>
  <c r="P1294" i="1"/>
  <c r="O1294" i="1"/>
  <c r="V1293" i="1"/>
  <c r="U1293" i="1"/>
  <c r="T1293" i="1"/>
  <c r="S1293" i="1"/>
  <c r="R1293" i="1"/>
  <c r="Q1293" i="1"/>
  <c r="P1293" i="1"/>
  <c r="O1293" i="1"/>
  <c r="V1292" i="1"/>
  <c r="U1292" i="1"/>
  <c r="T1292" i="1"/>
  <c r="S1292" i="1"/>
  <c r="R1292" i="1"/>
  <c r="Q1292" i="1"/>
  <c r="P1292" i="1"/>
  <c r="O1292" i="1"/>
  <c r="V1291" i="1"/>
  <c r="U1291" i="1"/>
  <c r="T1291" i="1"/>
  <c r="S1291" i="1"/>
  <c r="R1291" i="1"/>
  <c r="Q1291" i="1"/>
  <c r="P1291" i="1"/>
  <c r="O1291" i="1"/>
  <c r="V1290" i="1"/>
  <c r="U1290" i="1"/>
  <c r="T1290" i="1"/>
  <c r="S1290" i="1"/>
  <c r="R1290" i="1"/>
  <c r="Q1290" i="1"/>
  <c r="P1290" i="1"/>
  <c r="O1290" i="1"/>
  <c r="V1289" i="1"/>
  <c r="U1289" i="1"/>
  <c r="T1289" i="1"/>
  <c r="S1289" i="1"/>
  <c r="R1289" i="1"/>
  <c r="Q1289" i="1"/>
  <c r="P1289" i="1"/>
  <c r="O1289" i="1"/>
  <c r="V1288" i="1"/>
  <c r="U1288" i="1"/>
  <c r="T1288" i="1"/>
  <c r="S1288" i="1"/>
  <c r="R1288" i="1"/>
  <c r="Q1288" i="1"/>
  <c r="P1288" i="1"/>
  <c r="O1288" i="1"/>
  <c r="V1287" i="1"/>
  <c r="U1287" i="1"/>
  <c r="T1287" i="1"/>
  <c r="S1287" i="1"/>
  <c r="R1287" i="1"/>
  <c r="Q1287" i="1"/>
  <c r="P1287" i="1"/>
  <c r="O1287" i="1"/>
  <c r="V1286" i="1"/>
  <c r="U1286" i="1"/>
  <c r="T1286" i="1"/>
  <c r="S1286" i="1"/>
  <c r="R1286" i="1"/>
  <c r="Q1286" i="1"/>
  <c r="P1286" i="1"/>
  <c r="O1286" i="1"/>
  <c r="V1285" i="1"/>
  <c r="U1285" i="1"/>
  <c r="T1285" i="1"/>
  <c r="S1285" i="1"/>
  <c r="R1285" i="1"/>
  <c r="Q1285" i="1"/>
  <c r="P1285" i="1"/>
  <c r="O1285" i="1"/>
  <c r="V1284" i="1"/>
  <c r="U1284" i="1"/>
  <c r="T1284" i="1"/>
  <c r="S1284" i="1"/>
  <c r="R1284" i="1"/>
  <c r="Q1284" i="1"/>
  <c r="P1284" i="1"/>
  <c r="O1284" i="1"/>
  <c r="V1283" i="1"/>
  <c r="U1283" i="1"/>
  <c r="T1283" i="1"/>
  <c r="S1283" i="1"/>
  <c r="R1283" i="1"/>
  <c r="Q1283" i="1"/>
  <c r="P1283" i="1"/>
  <c r="O1283" i="1"/>
  <c r="V1282" i="1"/>
  <c r="U1282" i="1"/>
  <c r="T1282" i="1"/>
  <c r="S1282" i="1"/>
  <c r="R1282" i="1"/>
  <c r="Q1282" i="1"/>
  <c r="P1282" i="1"/>
  <c r="O1282" i="1"/>
  <c r="V1281" i="1"/>
  <c r="U1281" i="1"/>
  <c r="T1281" i="1"/>
  <c r="S1281" i="1"/>
  <c r="R1281" i="1"/>
  <c r="Q1281" i="1"/>
  <c r="P1281" i="1"/>
  <c r="O1281" i="1"/>
  <c r="V1280" i="1"/>
  <c r="U1280" i="1"/>
  <c r="T1280" i="1"/>
  <c r="S1280" i="1"/>
  <c r="R1280" i="1"/>
  <c r="Q1280" i="1"/>
  <c r="P1280" i="1"/>
  <c r="O1280" i="1"/>
  <c r="V1279" i="1"/>
  <c r="U1279" i="1"/>
  <c r="T1279" i="1"/>
  <c r="S1279" i="1"/>
  <c r="R1279" i="1"/>
  <c r="Q1279" i="1"/>
  <c r="P1279" i="1"/>
  <c r="O1279" i="1"/>
  <c r="V1278" i="1"/>
  <c r="U1278" i="1"/>
  <c r="T1278" i="1"/>
  <c r="S1278" i="1"/>
  <c r="R1278" i="1"/>
  <c r="Q1278" i="1"/>
  <c r="P1278" i="1"/>
  <c r="O1278" i="1"/>
  <c r="V1277" i="1"/>
  <c r="U1277" i="1"/>
  <c r="T1277" i="1"/>
  <c r="S1277" i="1"/>
  <c r="R1277" i="1"/>
  <c r="Q1277" i="1"/>
  <c r="P1277" i="1"/>
  <c r="O1277" i="1"/>
  <c r="V1276" i="1"/>
  <c r="U1276" i="1"/>
  <c r="T1276" i="1"/>
  <c r="S1276" i="1"/>
  <c r="R1276" i="1"/>
  <c r="Q1276" i="1"/>
  <c r="P1276" i="1"/>
  <c r="O1276" i="1"/>
  <c r="V1275" i="1"/>
  <c r="U1275" i="1"/>
  <c r="T1275" i="1"/>
  <c r="S1275" i="1"/>
  <c r="R1275" i="1"/>
  <c r="Q1275" i="1"/>
  <c r="P1275" i="1"/>
  <c r="O1275" i="1"/>
  <c r="V1274" i="1"/>
  <c r="U1274" i="1"/>
  <c r="T1274" i="1"/>
  <c r="S1274" i="1"/>
  <c r="R1274" i="1"/>
  <c r="Q1274" i="1"/>
  <c r="P1274" i="1"/>
  <c r="O1274" i="1"/>
  <c r="V1273" i="1"/>
  <c r="U1273" i="1"/>
  <c r="T1273" i="1"/>
  <c r="S1273" i="1"/>
  <c r="R1273" i="1"/>
  <c r="Q1273" i="1"/>
  <c r="P1273" i="1"/>
  <c r="O1273" i="1"/>
  <c r="V1272" i="1"/>
  <c r="U1272" i="1"/>
  <c r="T1272" i="1"/>
  <c r="S1272" i="1"/>
  <c r="R1272" i="1"/>
  <c r="Q1272" i="1"/>
  <c r="P1272" i="1"/>
  <c r="O1272" i="1"/>
  <c r="V1271" i="1"/>
  <c r="U1271" i="1"/>
  <c r="T1271" i="1"/>
  <c r="S1271" i="1"/>
  <c r="R1271" i="1"/>
  <c r="Q1271" i="1"/>
  <c r="P1271" i="1"/>
  <c r="O1271" i="1"/>
  <c r="V1270" i="1"/>
  <c r="U1270" i="1"/>
  <c r="T1270" i="1"/>
  <c r="S1270" i="1"/>
  <c r="R1270" i="1"/>
  <c r="Q1270" i="1"/>
  <c r="P1270" i="1"/>
  <c r="O1270" i="1"/>
  <c r="V1269" i="1"/>
  <c r="U1269" i="1"/>
  <c r="T1269" i="1"/>
  <c r="S1269" i="1"/>
  <c r="R1269" i="1"/>
  <c r="Q1269" i="1"/>
  <c r="P1269" i="1"/>
  <c r="O1269" i="1"/>
  <c r="V1268" i="1"/>
  <c r="U1268" i="1"/>
  <c r="T1268" i="1"/>
  <c r="S1268" i="1"/>
  <c r="R1268" i="1"/>
  <c r="Q1268" i="1"/>
  <c r="P1268" i="1"/>
  <c r="O1268" i="1"/>
  <c r="V1267" i="1"/>
  <c r="U1267" i="1"/>
  <c r="T1267" i="1"/>
  <c r="S1267" i="1"/>
  <c r="R1267" i="1"/>
  <c r="Q1267" i="1"/>
  <c r="P1267" i="1"/>
  <c r="O1267" i="1"/>
  <c r="V1266" i="1"/>
  <c r="U1266" i="1"/>
  <c r="T1266" i="1"/>
  <c r="S1266" i="1"/>
  <c r="R1266" i="1"/>
  <c r="Q1266" i="1"/>
  <c r="P1266" i="1"/>
  <c r="O1266" i="1"/>
  <c r="V1265" i="1"/>
  <c r="U1265" i="1"/>
  <c r="T1265" i="1"/>
  <c r="S1265" i="1"/>
  <c r="R1265" i="1"/>
  <c r="Q1265" i="1"/>
  <c r="P1265" i="1"/>
  <c r="O1265" i="1"/>
  <c r="V1264" i="1"/>
  <c r="U1264" i="1"/>
  <c r="T1264" i="1"/>
  <c r="S1264" i="1"/>
  <c r="R1264" i="1"/>
  <c r="Q1264" i="1"/>
  <c r="P1264" i="1"/>
  <c r="O1264" i="1"/>
  <c r="V1263" i="1"/>
  <c r="U1263" i="1"/>
  <c r="T1263" i="1"/>
  <c r="S1263" i="1"/>
  <c r="R1263" i="1"/>
  <c r="Q1263" i="1"/>
  <c r="P1263" i="1"/>
  <c r="O1263" i="1"/>
  <c r="V1262" i="1"/>
  <c r="U1262" i="1"/>
  <c r="T1262" i="1"/>
  <c r="S1262" i="1"/>
  <c r="R1262" i="1"/>
  <c r="Q1262" i="1"/>
  <c r="P1262" i="1"/>
  <c r="O1262" i="1"/>
  <c r="V1261" i="1"/>
  <c r="U1261" i="1"/>
  <c r="T1261" i="1"/>
  <c r="S1261" i="1"/>
  <c r="R1261" i="1"/>
  <c r="Q1261" i="1"/>
  <c r="P1261" i="1"/>
  <c r="O1261" i="1"/>
  <c r="V1260" i="1"/>
  <c r="U1260" i="1"/>
  <c r="T1260" i="1"/>
  <c r="S1260" i="1"/>
  <c r="R1260" i="1"/>
  <c r="Q1260" i="1"/>
  <c r="P1260" i="1"/>
  <c r="O1260" i="1"/>
  <c r="V1259" i="1"/>
  <c r="U1259" i="1"/>
  <c r="T1259" i="1"/>
  <c r="S1259" i="1"/>
  <c r="R1259" i="1"/>
  <c r="Q1259" i="1"/>
  <c r="P1259" i="1"/>
  <c r="O1259" i="1"/>
  <c r="V1258" i="1"/>
  <c r="U1258" i="1"/>
  <c r="T1258" i="1"/>
  <c r="S1258" i="1"/>
  <c r="R1258" i="1"/>
  <c r="Q1258" i="1"/>
  <c r="P1258" i="1"/>
  <c r="O1258" i="1"/>
  <c r="V1257" i="1"/>
  <c r="U1257" i="1"/>
  <c r="T1257" i="1"/>
  <c r="S1257" i="1"/>
  <c r="R1257" i="1"/>
  <c r="Q1257" i="1"/>
  <c r="P1257" i="1"/>
  <c r="O1257" i="1"/>
  <c r="V1256" i="1"/>
  <c r="U1256" i="1"/>
  <c r="T1256" i="1"/>
  <c r="S1256" i="1"/>
  <c r="R1256" i="1"/>
  <c r="Q1256" i="1"/>
  <c r="P1256" i="1"/>
  <c r="O1256" i="1"/>
  <c r="V1255" i="1"/>
  <c r="U1255" i="1"/>
  <c r="T1255" i="1"/>
  <c r="S1255" i="1"/>
  <c r="R1255" i="1"/>
  <c r="Q1255" i="1"/>
  <c r="P1255" i="1"/>
  <c r="O1255" i="1"/>
  <c r="V1254" i="1"/>
  <c r="U1254" i="1"/>
  <c r="T1254" i="1"/>
  <c r="S1254" i="1"/>
  <c r="R1254" i="1"/>
  <c r="Q1254" i="1"/>
  <c r="P1254" i="1"/>
  <c r="O1254" i="1"/>
  <c r="V1253" i="1"/>
  <c r="U1253" i="1"/>
  <c r="T1253" i="1"/>
  <c r="S1253" i="1"/>
  <c r="R1253" i="1"/>
  <c r="Q1253" i="1"/>
  <c r="P1253" i="1"/>
  <c r="O1253" i="1"/>
  <c r="V1252" i="1"/>
  <c r="U1252" i="1"/>
  <c r="T1252" i="1"/>
  <c r="S1252" i="1"/>
  <c r="R1252" i="1"/>
  <c r="Q1252" i="1"/>
  <c r="P1252" i="1"/>
  <c r="O1252" i="1"/>
  <c r="V1251" i="1"/>
  <c r="U1251" i="1"/>
  <c r="T1251" i="1"/>
  <c r="S1251" i="1"/>
  <c r="R1251" i="1"/>
  <c r="Q1251" i="1"/>
  <c r="P1251" i="1"/>
  <c r="O1251" i="1"/>
  <c r="V1250" i="1"/>
  <c r="U1250" i="1"/>
  <c r="T1250" i="1"/>
  <c r="S1250" i="1"/>
  <c r="R1250" i="1"/>
  <c r="Q1250" i="1"/>
  <c r="P1250" i="1"/>
  <c r="O1250" i="1"/>
  <c r="V1249" i="1"/>
  <c r="U1249" i="1"/>
  <c r="T1249" i="1"/>
  <c r="S1249" i="1"/>
  <c r="R1249" i="1"/>
  <c r="Q1249" i="1"/>
  <c r="P1249" i="1"/>
  <c r="O1249" i="1"/>
  <c r="V1248" i="1"/>
  <c r="U1248" i="1"/>
  <c r="T1248" i="1"/>
  <c r="S1248" i="1"/>
  <c r="R1248" i="1"/>
  <c r="Q1248" i="1"/>
  <c r="P1248" i="1"/>
  <c r="O1248" i="1"/>
  <c r="V1247" i="1"/>
  <c r="U1247" i="1"/>
  <c r="T1247" i="1"/>
  <c r="S1247" i="1"/>
  <c r="R1247" i="1"/>
  <c r="Q1247" i="1"/>
  <c r="P1247" i="1"/>
  <c r="O1247" i="1"/>
  <c r="V1246" i="1"/>
  <c r="U1246" i="1"/>
  <c r="T1246" i="1"/>
  <c r="S1246" i="1"/>
  <c r="R1246" i="1"/>
  <c r="Q1246" i="1"/>
  <c r="P1246" i="1"/>
  <c r="O1246" i="1"/>
  <c r="V1245" i="1"/>
  <c r="U1245" i="1"/>
  <c r="T1245" i="1"/>
  <c r="S1245" i="1"/>
  <c r="R1245" i="1"/>
  <c r="Q1245" i="1"/>
  <c r="P1245" i="1"/>
  <c r="O1245" i="1"/>
  <c r="V1244" i="1"/>
  <c r="U1244" i="1"/>
  <c r="T1244" i="1"/>
  <c r="S1244" i="1"/>
  <c r="R1244" i="1"/>
  <c r="Q1244" i="1"/>
  <c r="P1244" i="1"/>
  <c r="O1244" i="1"/>
  <c r="V1243" i="1"/>
  <c r="U1243" i="1"/>
  <c r="T1243" i="1"/>
  <c r="S1243" i="1"/>
  <c r="R1243" i="1"/>
  <c r="Q1243" i="1"/>
  <c r="P1243" i="1"/>
  <c r="O1243" i="1"/>
  <c r="V1242" i="1"/>
  <c r="U1242" i="1"/>
  <c r="T1242" i="1"/>
  <c r="S1242" i="1"/>
  <c r="R1242" i="1"/>
  <c r="Q1242" i="1"/>
  <c r="P1242" i="1"/>
  <c r="O1242" i="1"/>
  <c r="V1241" i="1"/>
  <c r="U1241" i="1"/>
  <c r="T1241" i="1"/>
  <c r="S1241" i="1"/>
  <c r="R1241" i="1"/>
  <c r="Q1241" i="1"/>
  <c r="P1241" i="1"/>
  <c r="O1241" i="1"/>
  <c r="V1240" i="1"/>
  <c r="U1240" i="1"/>
  <c r="T1240" i="1"/>
  <c r="S1240" i="1"/>
  <c r="R1240" i="1"/>
  <c r="Q1240" i="1"/>
  <c r="P1240" i="1"/>
  <c r="O1240" i="1"/>
  <c r="V1239" i="1"/>
  <c r="U1239" i="1"/>
  <c r="T1239" i="1"/>
  <c r="S1239" i="1"/>
  <c r="R1239" i="1"/>
  <c r="Q1239" i="1"/>
  <c r="P1239" i="1"/>
  <c r="O1239" i="1"/>
  <c r="V1238" i="1"/>
  <c r="U1238" i="1"/>
  <c r="T1238" i="1"/>
  <c r="S1238" i="1"/>
  <c r="R1238" i="1"/>
  <c r="Q1238" i="1"/>
  <c r="P1238" i="1"/>
  <c r="O1238" i="1"/>
  <c r="V1237" i="1"/>
  <c r="U1237" i="1"/>
  <c r="T1237" i="1"/>
  <c r="S1237" i="1"/>
  <c r="R1237" i="1"/>
  <c r="Q1237" i="1"/>
  <c r="P1237" i="1"/>
  <c r="O1237" i="1"/>
  <c r="V1236" i="1"/>
  <c r="U1236" i="1"/>
  <c r="T1236" i="1"/>
  <c r="S1236" i="1"/>
  <c r="R1236" i="1"/>
  <c r="Q1236" i="1"/>
  <c r="P1236" i="1"/>
  <c r="O1236" i="1"/>
  <c r="V1235" i="1"/>
  <c r="U1235" i="1"/>
  <c r="T1235" i="1"/>
  <c r="S1235" i="1"/>
  <c r="R1235" i="1"/>
  <c r="Q1235" i="1"/>
  <c r="P1235" i="1"/>
  <c r="O1235" i="1"/>
  <c r="V1234" i="1"/>
  <c r="U1234" i="1"/>
  <c r="T1234" i="1"/>
  <c r="S1234" i="1"/>
  <c r="R1234" i="1"/>
  <c r="Q1234" i="1"/>
  <c r="P1234" i="1"/>
  <c r="O1234" i="1"/>
  <c r="V1233" i="1"/>
  <c r="U1233" i="1"/>
  <c r="T1233" i="1"/>
  <c r="S1233" i="1"/>
  <c r="R1233" i="1"/>
  <c r="Q1233" i="1"/>
  <c r="P1233" i="1"/>
  <c r="O1233" i="1"/>
  <c r="V1232" i="1"/>
  <c r="U1232" i="1"/>
  <c r="T1232" i="1"/>
  <c r="S1232" i="1"/>
  <c r="R1232" i="1"/>
  <c r="Q1232" i="1"/>
  <c r="P1232" i="1"/>
  <c r="O1232" i="1"/>
  <c r="V1231" i="1"/>
  <c r="U1231" i="1"/>
  <c r="T1231" i="1"/>
  <c r="S1231" i="1"/>
  <c r="R1231" i="1"/>
  <c r="Q1231" i="1"/>
  <c r="P1231" i="1"/>
  <c r="O1231" i="1"/>
  <c r="V1230" i="1"/>
  <c r="U1230" i="1"/>
  <c r="T1230" i="1"/>
  <c r="S1230" i="1"/>
  <c r="R1230" i="1"/>
  <c r="Q1230" i="1"/>
  <c r="P1230" i="1"/>
  <c r="O1230" i="1"/>
  <c r="V1229" i="1"/>
  <c r="U1229" i="1"/>
  <c r="T1229" i="1"/>
  <c r="S1229" i="1"/>
  <c r="R1229" i="1"/>
  <c r="Q1229" i="1"/>
  <c r="P1229" i="1"/>
  <c r="O1229" i="1"/>
  <c r="V1228" i="1"/>
  <c r="U1228" i="1"/>
  <c r="T1228" i="1"/>
  <c r="S1228" i="1"/>
  <c r="R1228" i="1"/>
  <c r="Q1228" i="1"/>
  <c r="P1228" i="1"/>
  <c r="O1228" i="1"/>
  <c r="V1227" i="1"/>
  <c r="U1227" i="1"/>
  <c r="T1227" i="1"/>
  <c r="S1227" i="1"/>
  <c r="R1227" i="1"/>
  <c r="Q1227" i="1"/>
  <c r="P1227" i="1"/>
  <c r="O1227" i="1"/>
  <c r="V1226" i="1"/>
  <c r="U1226" i="1"/>
  <c r="T1226" i="1"/>
  <c r="S1226" i="1"/>
  <c r="R1226" i="1"/>
  <c r="Q1226" i="1"/>
  <c r="P1226" i="1"/>
  <c r="O1226" i="1"/>
  <c r="V1225" i="1"/>
  <c r="U1225" i="1"/>
  <c r="T1225" i="1"/>
  <c r="S1225" i="1"/>
  <c r="R1225" i="1"/>
  <c r="Q1225" i="1"/>
  <c r="P1225" i="1"/>
  <c r="O1225" i="1"/>
  <c r="V1224" i="1"/>
  <c r="U1224" i="1"/>
  <c r="T1224" i="1"/>
  <c r="S1224" i="1"/>
  <c r="R1224" i="1"/>
  <c r="Q1224" i="1"/>
  <c r="P1224" i="1"/>
  <c r="O1224" i="1"/>
  <c r="V1223" i="1"/>
  <c r="U1223" i="1"/>
  <c r="T1223" i="1"/>
  <c r="S1223" i="1"/>
  <c r="R1223" i="1"/>
  <c r="Q1223" i="1"/>
  <c r="P1223" i="1"/>
  <c r="O1223" i="1"/>
  <c r="V1222" i="1"/>
  <c r="U1222" i="1"/>
  <c r="T1222" i="1"/>
  <c r="S1222" i="1"/>
  <c r="R1222" i="1"/>
  <c r="Q1222" i="1"/>
  <c r="P1222" i="1"/>
  <c r="O1222" i="1"/>
  <c r="V1221" i="1"/>
  <c r="U1221" i="1"/>
  <c r="T1221" i="1"/>
  <c r="S1221" i="1"/>
  <c r="R1221" i="1"/>
  <c r="Q1221" i="1"/>
  <c r="P1221" i="1"/>
  <c r="O1221" i="1"/>
  <c r="V1220" i="1"/>
  <c r="U1220" i="1"/>
  <c r="T1220" i="1"/>
  <c r="S1220" i="1"/>
  <c r="R1220" i="1"/>
  <c r="Q1220" i="1"/>
  <c r="P1220" i="1"/>
  <c r="O1220" i="1"/>
  <c r="V1219" i="1"/>
  <c r="U1219" i="1"/>
  <c r="T1219" i="1"/>
  <c r="S1219" i="1"/>
  <c r="R1219" i="1"/>
  <c r="Q1219" i="1"/>
  <c r="P1219" i="1"/>
  <c r="O1219" i="1"/>
  <c r="V1218" i="1"/>
  <c r="U1218" i="1"/>
  <c r="T1218" i="1"/>
  <c r="S1218" i="1"/>
  <c r="R1218" i="1"/>
  <c r="Q1218" i="1"/>
  <c r="P1218" i="1"/>
  <c r="O1218" i="1"/>
  <c r="V1217" i="1"/>
  <c r="U1217" i="1"/>
  <c r="T1217" i="1"/>
  <c r="S1217" i="1"/>
  <c r="R1217" i="1"/>
  <c r="Q1217" i="1"/>
  <c r="P1217" i="1"/>
  <c r="O1217" i="1"/>
  <c r="V1216" i="1"/>
  <c r="U1216" i="1"/>
  <c r="T1216" i="1"/>
  <c r="S1216" i="1"/>
  <c r="R1216" i="1"/>
  <c r="Q1216" i="1"/>
  <c r="P1216" i="1"/>
  <c r="O1216" i="1"/>
  <c r="V1215" i="1"/>
  <c r="U1215" i="1"/>
  <c r="T1215" i="1"/>
  <c r="S1215" i="1"/>
  <c r="R1215" i="1"/>
  <c r="Q1215" i="1"/>
  <c r="P1215" i="1"/>
  <c r="O1215" i="1"/>
  <c r="V1214" i="1"/>
  <c r="U1214" i="1"/>
  <c r="T1214" i="1"/>
  <c r="S1214" i="1"/>
  <c r="R1214" i="1"/>
  <c r="Q1214" i="1"/>
  <c r="P1214" i="1"/>
  <c r="O1214" i="1"/>
  <c r="V1213" i="1"/>
  <c r="U1213" i="1"/>
  <c r="T1213" i="1"/>
  <c r="S1213" i="1"/>
  <c r="R1213" i="1"/>
  <c r="Q1213" i="1"/>
  <c r="P1213" i="1"/>
  <c r="O1213" i="1"/>
  <c r="V1212" i="1"/>
  <c r="U1212" i="1"/>
  <c r="T1212" i="1"/>
  <c r="S1212" i="1"/>
  <c r="R1212" i="1"/>
  <c r="Q1212" i="1"/>
  <c r="P1212" i="1"/>
  <c r="O1212" i="1"/>
  <c r="V1211" i="1"/>
  <c r="U1211" i="1"/>
  <c r="T1211" i="1"/>
  <c r="S1211" i="1"/>
  <c r="R1211" i="1"/>
  <c r="Q1211" i="1"/>
  <c r="P1211" i="1"/>
  <c r="O1211" i="1"/>
  <c r="V1210" i="1"/>
  <c r="U1210" i="1"/>
  <c r="T1210" i="1"/>
  <c r="S1210" i="1"/>
  <c r="R1210" i="1"/>
  <c r="Q1210" i="1"/>
  <c r="P1210" i="1"/>
  <c r="O1210" i="1"/>
  <c r="V1209" i="1"/>
  <c r="U1209" i="1"/>
  <c r="T1209" i="1"/>
  <c r="S1209" i="1"/>
  <c r="R1209" i="1"/>
  <c r="Q1209" i="1"/>
  <c r="P1209" i="1"/>
  <c r="O1209" i="1"/>
  <c r="V1208" i="1"/>
  <c r="U1208" i="1"/>
  <c r="T1208" i="1"/>
  <c r="S1208" i="1"/>
  <c r="R1208" i="1"/>
  <c r="Q1208" i="1"/>
  <c r="P1208" i="1"/>
  <c r="O1208" i="1"/>
  <c r="V1207" i="1"/>
  <c r="U1207" i="1"/>
  <c r="T1207" i="1"/>
  <c r="S1207" i="1"/>
  <c r="R1207" i="1"/>
  <c r="Q1207" i="1"/>
  <c r="P1207" i="1"/>
  <c r="O1207" i="1"/>
  <c r="V1206" i="1"/>
  <c r="U1206" i="1"/>
  <c r="T1206" i="1"/>
  <c r="S1206" i="1"/>
  <c r="R1206" i="1"/>
  <c r="Q1206" i="1"/>
  <c r="P1206" i="1"/>
  <c r="O1206" i="1"/>
  <c r="V1205" i="1"/>
  <c r="U1205" i="1"/>
  <c r="T1205" i="1"/>
  <c r="S1205" i="1"/>
  <c r="R1205" i="1"/>
  <c r="Q1205" i="1"/>
  <c r="P1205" i="1"/>
  <c r="O1205" i="1"/>
  <c r="V1204" i="1"/>
  <c r="U1204" i="1"/>
  <c r="T1204" i="1"/>
  <c r="S1204" i="1"/>
  <c r="R1204" i="1"/>
  <c r="Q1204" i="1"/>
  <c r="P1204" i="1"/>
  <c r="O1204" i="1"/>
  <c r="V1203" i="1"/>
  <c r="U1203" i="1"/>
  <c r="T1203" i="1"/>
  <c r="S1203" i="1"/>
  <c r="R1203" i="1"/>
  <c r="Q1203" i="1"/>
  <c r="P1203" i="1"/>
  <c r="O1203" i="1"/>
  <c r="V1202" i="1"/>
  <c r="U1202" i="1"/>
  <c r="T1202" i="1"/>
  <c r="S1202" i="1"/>
  <c r="R1202" i="1"/>
  <c r="Q1202" i="1"/>
  <c r="P1202" i="1"/>
  <c r="O1202" i="1"/>
  <c r="V1201" i="1"/>
  <c r="U1201" i="1"/>
  <c r="T1201" i="1"/>
  <c r="S1201" i="1"/>
  <c r="R1201" i="1"/>
  <c r="Q1201" i="1"/>
  <c r="P1201" i="1"/>
  <c r="O1201" i="1"/>
  <c r="V1200" i="1"/>
  <c r="U1200" i="1"/>
  <c r="T1200" i="1"/>
  <c r="S1200" i="1"/>
  <c r="R1200" i="1"/>
  <c r="Q1200" i="1"/>
  <c r="P1200" i="1"/>
  <c r="O1200" i="1"/>
  <c r="V1199" i="1"/>
  <c r="U1199" i="1"/>
  <c r="T1199" i="1"/>
  <c r="S1199" i="1"/>
  <c r="R1199" i="1"/>
  <c r="Q1199" i="1"/>
  <c r="P1199" i="1"/>
  <c r="O1199" i="1"/>
  <c r="V1198" i="1"/>
  <c r="U1198" i="1"/>
  <c r="T1198" i="1"/>
  <c r="S1198" i="1"/>
  <c r="R1198" i="1"/>
  <c r="Q1198" i="1"/>
  <c r="P1198" i="1"/>
  <c r="O1198" i="1"/>
  <c r="V1197" i="1"/>
  <c r="U1197" i="1"/>
  <c r="T1197" i="1"/>
  <c r="S1197" i="1"/>
  <c r="R1197" i="1"/>
  <c r="Q1197" i="1"/>
  <c r="P1197" i="1"/>
  <c r="O1197" i="1"/>
  <c r="V1196" i="1"/>
  <c r="U1196" i="1"/>
  <c r="T1196" i="1"/>
  <c r="S1196" i="1"/>
  <c r="R1196" i="1"/>
  <c r="Q1196" i="1"/>
  <c r="P1196" i="1"/>
  <c r="O1196" i="1"/>
  <c r="V1195" i="1"/>
  <c r="U1195" i="1"/>
  <c r="T1195" i="1"/>
  <c r="S1195" i="1"/>
  <c r="R1195" i="1"/>
  <c r="Q1195" i="1"/>
  <c r="P1195" i="1"/>
  <c r="O1195" i="1"/>
  <c r="V1194" i="1"/>
  <c r="U1194" i="1"/>
  <c r="T1194" i="1"/>
  <c r="S1194" i="1"/>
  <c r="R1194" i="1"/>
  <c r="Q1194" i="1"/>
  <c r="P1194" i="1"/>
  <c r="O1194" i="1"/>
  <c r="V1193" i="1"/>
  <c r="U1193" i="1"/>
  <c r="T1193" i="1"/>
  <c r="S1193" i="1"/>
  <c r="R1193" i="1"/>
  <c r="Q1193" i="1"/>
  <c r="P1193" i="1"/>
  <c r="O1193" i="1"/>
  <c r="V1192" i="1"/>
  <c r="U1192" i="1"/>
  <c r="T1192" i="1"/>
  <c r="S1192" i="1"/>
  <c r="R1192" i="1"/>
  <c r="Q1192" i="1"/>
  <c r="P1192" i="1"/>
  <c r="O1192" i="1"/>
  <c r="V1191" i="1"/>
  <c r="U1191" i="1"/>
  <c r="T1191" i="1"/>
  <c r="S1191" i="1"/>
  <c r="R1191" i="1"/>
  <c r="Q1191" i="1"/>
  <c r="P1191" i="1"/>
  <c r="O1191" i="1"/>
  <c r="V1190" i="1"/>
  <c r="U1190" i="1"/>
  <c r="T1190" i="1"/>
  <c r="S1190" i="1"/>
  <c r="R1190" i="1"/>
  <c r="Q1190" i="1"/>
  <c r="P1190" i="1"/>
  <c r="O1190" i="1"/>
  <c r="V1189" i="1"/>
  <c r="U1189" i="1"/>
  <c r="T1189" i="1"/>
  <c r="S1189" i="1"/>
  <c r="R1189" i="1"/>
  <c r="Q1189" i="1"/>
  <c r="P1189" i="1"/>
  <c r="O1189" i="1"/>
  <c r="V1188" i="1"/>
  <c r="U1188" i="1"/>
  <c r="T1188" i="1"/>
  <c r="S1188" i="1"/>
  <c r="R1188" i="1"/>
  <c r="Q1188" i="1"/>
  <c r="P1188" i="1"/>
  <c r="O1188" i="1"/>
  <c r="V1187" i="1"/>
  <c r="U1187" i="1"/>
  <c r="T1187" i="1"/>
  <c r="S1187" i="1"/>
  <c r="R1187" i="1"/>
  <c r="Q1187" i="1"/>
  <c r="P1187" i="1"/>
  <c r="O1187" i="1"/>
  <c r="V1186" i="1"/>
  <c r="U1186" i="1"/>
  <c r="T1186" i="1"/>
  <c r="S1186" i="1"/>
  <c r="R1186" i="1"/>
  <c r="Q1186" i="1"/>
  <c r="P1186" i="1"/>
  <c r="O1186" i="1"/>
  <c r="V1185" i="1"/>
  <c r="U1185" i="1"/>
  <c r="T1185" i="1"/>
  <c r="S1185" i="1"/>
  <c r="R1185" i="1"/>
  <c r="Q1185" i="1"/>
  <c r="P1185" i="1"/>
  <c r="O1185" i="1"/>
  <c r="V1184" i="1"/>
  <c r="U1184" i="1"/>
  <c r="T1184" i="1"/>
  <c r="S1184" i="1"/>
  <c r="R1184" i="1"/>
  <c r="Q1184" i="1"/>
  <c r="P1184" i="1"/>
  <c r="O1184" i="1"/>
  <c r="V1183" i="1"/>
  <c r="U1183" i="1"/>
  <c r="T1183" i="1"/>
  <c r="S1183" i="1"/>
  <c r="R1183" i="1"/>
  <c r="Q1183" i="1"/>
  <c r="P1183" i="1"/>
  <c r="O1183" i="1"/>
  <c r="V1182" i="1"/>
  <c r="U1182" i="1"/>
  <c r="T1182" i="1"/>
  <c r="S1182" i="1"/>
  <c r="R1182" i="1"/>
  <c r="Q1182" i="1"/>
  <c r="P1182" i="1"/>
  <c r="O1182" i="1"/>
  <c r="V1181" i="1"/>
  <c r="U1181" i="1"/>
  <c r="T1181" i="1"/>
  <c r="S1181" i="1"/>
  <c r="R1181" i="1"/>
  <c r="Q1181" i="1"/>
  <c r="P1181" i="1"/>
  <c r="O1181" i="1"/>
  <c r="V1180" i="1"/>
  <c r="U1180" i="1"/>
  <c r="T1180" i="1"/>
  <c r="S1180" i="1"/>
  <c r="R1180" i="1"/>
  <c r="Q1180" i="1"/>
  <c r="P1180" i="1"/>
  <c r="O1180" i="1"/>
  <c r="V1179" i="1"/>
  <c r="U1179" i="1"/>
  <c r="T1179" i="1"/>
  <c r="S1179" i="1"/>
  <c r="R1179" i="1"/>
  <c r="Q1179" i="1"/>
  <c r="P1179" i="1"/>
  <c r="O1179" i="1"/>
  <c r="V1178" i="1"/>
  <c r="U1178" i="1"/>
  <c r="T1178" i="1"/>
  <c r="S1178" i="1"/>
  <c r="R1178" i="1"/>
  <c r="Q1178" i="1"/>
  <c r="P1178" i="1"/>
  <c r="O1178" i="1"/>
  <c r="V1177" i="1"/>
  <c r="U1177" i="1"/>
  <c r="T1177" i="1"/>
  <c r="S1177" i="1"/>
  <c r="R1177" i="1"/>
  <c r="Q1177" i="1"/>
  <c r="P1177" i="1"/>
  <c r="O1177" i="1"/>
  <c r="V1176" i="1"/>
  <c r="U1176" i="1"/>
  <c r="T1176" i="1"/>
  <c r="S1176" i="1"/>
  <c r="R1176" i="1"/>
  <c r="Q1176" i="1"/>
  <c r="P1176" i="1"/>
  <c r="O1176" i="1"/>
  <c r="V1175" i="1"/>
  <c r="U1175" i="1"/>
  <c r="T1175" i="1"/>
  <c r="S1175" i="1"/>
  <c r="R1175" i="1"/>
  <c r="Q1175" i="1"/>
  <c r="P1175" i="1"/>
  <c r="O1175" i="1"/>
  <c r="V1174" i="1"/>
  <c r="U1174" i="1"/>
  <c r="T1174" i="1"/>
  <c r="S1174" i="1"/>
  <c r="R1174" i="1"/>
  <c r="Q1174" i="1"/>
  <c r="P1174" i="1"/>
  <c r="O1174" i="1"/>
  <c r="V1173" i="1"/>
  <c r="U1173" i="1"/>
  <c r="T1173" i="1"/>
  <c r="S1173" i="1"/>
  <c r="R1173" i="1"/>
  <c r="Q1173" i="1"/>
  <c r="P1173" i="1"/>
  <c r="O1173" i="1"/>
  <c r="V1172" i="1"/>
  <c r="U1172" i="1"/>
  <c r="T1172" i="1"/>
  <c r="S1172" i="1"/>
  <c r="R1172" i="1"/>
  <c r="Q1172" i="1"/>
  <c r="P1172" i="1"/>
  <c r="O1172" i="1"/>
  <c r="V1171" i="1"/>
  <c r="U1171" i="1"/>
  <c r="T1171" i="1"/>
  <c r="S1171" i="1"/>
  <c r="R1171" i="1"/>
  <c r="Q1171" i="1"/>
  <c r="P1171" i="1"/>
  <c r="O1171" i="1"/>
  <c r="V1170" i="1"/>
  <c r="U1170" i="1"/>
  <c r="T1170" i="1"/>
  <c r="S1170" i="1"/>
  <c r="R1170" i="1"/>
  <c r="Q1170" i="1"/>
  <c r="P1170" i="1"/>
  <c r="O1170" i="1"/>
  <c r="V1169" i="1"/>
  <c r="U1169" i="1"/>
  <c r="T1169" i="1"/>
  <c r="S1169" i="1"/>
  <c r="R1169" i="1"/>
  <c r="Q1169" i="1"/>
  <c r="P1169" i="1"/>
  <c r="O1169" i="1"/>
  <c r="V1168" i="1"/>
  <c r="U1168" i="1"/>
  <c r="T1168" i="1"/>
  <c r="S1168" i="1"/>
  <c r="R1168" i="1"/>
  <c r="Q1168" i="1"/>
  <c r="P1168" i="1"/>
  <c r="O1168" i="1"/>
  <c r="V1167" i="1"/>
  <c r="U1167" i="1"/>
  <c r="T1167" i="1"/>
  <c r="S1167" i="1"/>
  <c r="R1167" i="1"/>
  <c r="Q1167" i="1"/>
  <c r="P1167" i="1"/>
  <c r="O1167" i="1"/>
  <c r="V1166" i="1"/>
  <c r="U1166" i="1"/>
  <c r="T1166" i="1"/>
  <c r="S1166" i="1"/>
  <c r="R1166" i="1"/>
  <c r="Q1166" i="1"/>
  <c r="P1166" i="1"/>
  <c r="O1166" i="1"/>
  <c r="V1165" i="1"/>
  <c r="U1165" i="1"/>
  <c r="T1165" i="1"/>
  <c r="S1165" i="1"/>
  <c r="R1165" i="1"/>
  <c r="Q1165" i="1"/>
  <c r="P1165" i="1"/>
  <c r="O1165" i="1"/>
  <c r="V1164" i="1"/>
  <c r="U1164" i="1"/>
  <c r="T1164" i="1"/>
  <c r="S1164" i="1"/>
  <c r="R1164" i="1"/>
  <c r="Q1164" i="1"/>
  <c r="P1164" i="1"/>
  <c r="O1164" i="1"/>
  <c r="V1163" i="1"/>
  <c r="U1163" i="1"/>
  <c r="T1163" i="1"/>
  <c r="S1163" i="1"/>
  <c r="R1163" i="1"/>
  <c r="Q1163" i="1"/>
  <c r="P1163" i="1"/>
  <c r="O1163" i="1"/>
  <c r="V1162" i="1"/>
  <c r="U1162" i="1"/>
  <c r="T1162" i="1"/>
  <c r="S1162" i="1"/>
  <c r="R1162" i="1"/>
  <c r="Q1162" i="1"/>
  <c r="P1162" i="1"/>
  <c r="O1162" i="1"/>
  <c r="V1161" i="1"/>
  <c r="U1161" i="1"/>
  <c r="T1161" i="1"/>
  <c r="S1161" i="1"/>
  <c r="R1161" i="1"/>
  <c r="Q1161" i="1"/>
  <c r="P1161" i="1"/>
  <c r="O1161" i="1"/>
  <c r="V1160" i="1"/>
  <c r="U1160" i="1"/>
  <c r="T1160" i="1"/>
  <c r="S1160" i="1"/>
  <c r="R1160" i="1"/>
  <c r="Q1160" i="1"/>
  <c r="P1160" i="1"/>
  <c r="O1160" i="1"/>
  <c r="V1159" i="1"/>
  <c r="U1159" i="1"/>
  <c r="T1159" i="1"/>
  <c r="S1159" i="1"/>
  <c r="R1159" i="1"/>
  <c r="Q1159" i="1"/>
  <c r="P1159" i="1"/>
  <c r="O1159" i="1"/>
  <c r="V1158" i="1"/>
  <c r="U1158" i="1"/>
  <c r="T1158" i="1"/>
  <c r="S1158" i="1"/>
  <c r="R1158" i="1"/>
  <c r="Q1158" i="1"/>
  <c r="P1158" i="1"/>
  <c r="O1158" i="1"/>
  <c r="V1157" i="1"/>
  <c r="U1157" i="1"/>
  <c r="T1157" i="1"/>
  <c r="S1157" i="1"/>
  <c r="R1157" i="1"/>
  <c r="Q1157" i="1"/>
  <c r="P1157" i="1"/>
  <c r="O1157" i="1"/>
  <c r="V1156" i="1"/>
  <c r="U1156" i="1"/>
  <c r="T1156" i="1"/>
  <c r="S1156" i="1"/>
  <c r="R1156" i="1"/>
  <c r="Q1156" i="1"/>
  <c r="P1156" i="1"/>
  <c r="O1156" i="1"/>
  <c r="V1155" i="1"/>
  <c r="U1155" i="1"/>
  <c r="T1155" i="1"/>
  <c r="S1155" i="1"/>
  <c r="R1155" i="1"/>
  <c r="Q1155" i="1"/>
  <c r="P1155" i="1"/>
  <c r="O1155" i="1"/>
  <c r="V1154" i="1"/>
  <c r="U1154" i="1"/>
  <c r="T1154" i="1"/>
  <c r="S1154" i="1"/>
  <c r="R1154" i="1"/>
  <c r="Q1154" i="1"/>
  <c r="P1154" i="1"/>
  <c r="O1154" i="1"/>
  <c r="V1153" i="1"/>
  <c r="U1153" i="1"/>
  <c r="T1153" i="1"/>
  <c r="S1153" i="1"/>
  <c r="R1153" i="1"/>
  <c r="Q1153" i="1"/>
  <c r="P1153" i="1"/>
  <c r="O1153" i="1"/>
  <c r="V1152" i="1"/>
  <c r="U1152" i="1"/>
  <c r="T1152" i="1"/>
  <c r="S1152" i="1"/>
  <c r="R1152" i="1"/>
  <c r="Q1152" i="1"/>
  <c r="P1152" i="1"/>
  <c r="O1152" i="1"/>
  <c r="V1151" i="1"/>
  <c r="U1151" i="1"/>
  <c r="T1151" i="1"/>
  <c r="S1151" i="1"/>
  <c r="R1151" i="1"/>
  <c r="Q1151" i="1"/>
  <c r="P1151" i="1"/>
  <c r="O1151" i="1"/>
  <c r="V1150" i="1"/>
  <c r="U1150" i="1"/>
  <c r="T1150" i="1"/>
  <c r="S1150" i="1"/>
  <c r="R1150" i="1"/>
  <c r="Q1150" i="1"/>
  <c r="P1150" i="1"/>
  <c r="O1150" i="1"/>
  <c r="V1149" i="1"/>
  <c r="U1149" i="1"/>
  <c r="T1149" i="1"/>
  <c r="S1149" i="1"/>
  <c r="R1149" i="1"/>
  <c r="Q1149" i="1"/>
  <c r="P1149" i="1"/>
  <c r="O1149" i="1"/>
  <c r="V1148" i="1"/>
  <c r="U1148" i="1"/>
  <c r="T1148" i="1"/>
  <c r="S1148" i="1"/>
  <c r="R1148" i="1"/>
  <c r="Q1148" i="1"/>
  <c r="P1148" i="1"/>
  <c r="O1148" i="1"/>
  <c r="V1147" i="1"/>
  <c r="U1147" i="1"/>
  <c r="T1147" i="1"/>
  <c r="S1147" i="1"/>
  <c r="R1147" i="1"/>
  <c r="Q1147" i="1"/>
  <c r="P1147" i="1"/>
  <c r="O1147" i="1"/>
  <c r="V1146" i="1"/>
  <c r="U1146" i="1"/>
  <c r="T1146" i="1"/>
  <c r="S1146" i="1"/>
  <c r="R1146" i="1"/>
  <c r="Q1146" i="1"/>
  <c r="P1146" i="1"/>
  <c r="O1146" i="1"/>
  <c r="V1145" i="1"/>
  <c r="U1145" i="1"/>
  <c r="T1145" i="1"/>
  <c r="S1145" i="1"/>
  <c r="R1145" i="1"/>
  <c r="Q1145" i="1"/>
  <c r="P1145" i="1"/>
  <c r="O1145" i="1"/>
  <c r="V1144" i="1"/>
  <c r="U1144" i="1"/>
  <c r="T1144" i="1"/>
  <c r="S1144" i="1"/>
  <c r="R1144" i="1"/>
  <c r="Q1144" i="1"/>
  <c r="P1144" i="1"/>
  <c r="O1144" i="1"/>
  <c r="V1143" i="1"/>
  <c r="U1143" i="1"/>
  <c r="T1143" i="1"/>
  <c r="S1143" i="1"/>
  <c r="R1143" i="1"/>
  <c r="Q1143" i="1"/>
  <c r="P1143" i="1"/>
  <c r="O1143" i="1"/>
  <c r="V1142" i="1"/>
  <c r="U1142" i="1"/>
  <c r="T1142" i="1"/>
  <c r="S1142" i="1"/>
  <c r="R1142" i="1"/>
  <c r="Q1142" i="1"/>
  <c r="P1142" i="1"/>
  <c r="O1142" i="1"/>
  <c r="V1141" i="1"/>
  <c r="U1141" i="1"/>
  <c r="T1141" i="1"/>
  <c r="S1141" i="1"/>
  <c r="R1141" i="1"/>
  <c r="Q1141" i="1"/>
  <c r="P1141" i="1"/>
  <c r="O1141" i="1"/>
  <c r="V1140" i="1"/>
  <c r="U1140" i="1"/>
  <c r="T1140" i="1"/>
  <c r="S1140" i="1"/>
  <c r="R1140" i="1"/>
  <c r="Q1140" i="1"/>
  <c r="P1140" i="1"/>
  <c r="O1140" i="1"/>
  <c r="V1139" i="1"/>
  <c r="U1139" i="1"/>
  <c r="T1139" i="1"/>
  <c r="S1139" i="1"/>
  <c r="R1139" i="1"/>
  <c r="Q1139" i="1"/>
  <c r="P1139" i="1"/>
  <c r="O1139" i="1"/>
  <c r="V1138" i="1"/>
  <c r="U1138" i="1"/>
  <c r="T1138" i="1"/>
  <c r="S1138" i="1"/>
  <c r="R1138" i="1"/>
  <c r="Q1138" i="1"/>
  <c r="P1138" i="1"/>
  <c r="O1138" i="1"/>
  <c r="V1137" i="1"/>
  <c r="U1137" i="1"/>
  <c r="T1137" i="1"/>
  <c r="S1137" i="1"/>
  <c r="R1137" i="1"/>
  <c r="Q1137" i="1"/>
  <c r="P1137" i="1"/>
  <c r="O1137" i="1"/>
  <c r="V1136" i="1"/>
  <c r="U1136" i="1"/>
  <c r="T1136" i="1"/>
  <c r="S1136" i="1"/>
  <c r="R1136" i="1"/>
  <c r="Q1136" i="1"/>
  <c r="P1136" i="1"/>
  <c r="O1136" i="1"/>
  <c r="V1135" i="1"/>
  <c r="U1135" i="1"/>
  <c r="T1135" i="1"/>
  <c r="S1135" i="1"/>
  <c r="R1135" i="1"/>
  <c r="Q1135" i="1"/>
  <c r="P1135" i="1"/>
  <c r="O1135" i="1"/>
  <c r="V1134" i="1"/>
  <c r="U1134" i="1"/>
  <c r="T1134" i="1"/>
  <c r="S1134" i="1"/>
  <c r="R1134" i="1"/>
  <c r="Q1134" i="1"/>
  <c r="P1134" i="1"/>
  <c r="O1134" i="1"/>
  <c r="V1133" i="1"/>
  <c r="U1133" i="1"/>
  <c r="T1133" i="1"/>
  <c r="S1133" i="1"/>
  <c r="R1133" i="1"/>
  <c r="Q1133" i="1"/>
  <c r="P1133" i="1"/>
  <c r="O1133" i="1"/>
  <c r="V1132" i="1"/>
  <c r="U1132" i="1"/>
  <c r="T1132" i="1"/>
  <c r="S1132" i="1"/>
  <c r="R1132" i="1"/>
  <c r="Q1132" i="1"/>
  <c r="P1132" i="1"/>
  <c r="O1132" i="1"/>
  <c r="V1131" i="1"/>
  <c r="U1131" i="1"/>
  <c r="T1131" i="1"/>
  <c r="S1131" i="1"/>
  <c r="R1131" i="1"/>
  <c r="Q1131" i="1"/>
  <c r="P1131" i="1"/>
  <c r="O1131" i="1"/>
  <c r="V1130" i="1"/>
  <c r="U1130" i="1"/>
  <c r="T1130" i="1"/>
  <c r="S1130" i="1"/>
  <c r="R1130" i="1"/>
  <c r="Q1130" i="1"/>
  <c r="P1130" i="1"/>
  <c r="O1130" i="1"/>
  <c r="V1129" i="1"/>
  <c r="U1129" i="1"/>
  <c r="T1129" i="1"/>
  <c r="S1129" i="1"/>
  <c r="R1129" i="1"/>
  <c r="Q1129" i="1"/>
  <c r="P1129" i="1"/>
  <c r="O1129" i="1"/>
  <c r="V1128" i="1"/>
  <c r="U1128" i="1"/>
  <c r="T1128" i="1"/>
  <c r="S1128" i="1"/>
  <c r="R1128" i="1"/>
  <c r="Q1128" i="1"/>
  <c r="P1128" i="1"/>
  <c r="O1128" i="1"/>
  <c r="V1127" i="1"/>
  <c r="U1127" i="1"/>
  <c r="T1127" i="1"/>
  <c r="S1127" i="1"/>
  <c r="R1127" i="1"/>
  <c r="Q1127" i="1"/>
  <c r="P1127" i="1"/>
  <c r="O1127" i="1"/>
  <c r="V1126" i="1"/>
  <c r="U1126" i="1"/>
  <c r="T1126" i="1"/>
  <c r="S1126" i="1"/>
  <c r="R1126" i="1"/>
  <c r="Q1126" i="1"/>
  <c r="P1126" i="1"/>
  <c r="O1126" i="1"/>
  <c r="V1125" i="1"/>
  <c r="U1125" i="1"/>
  <c r="T1125" i="1"/>
  <c r="S1125" i="1"/>
  <c r="R1125" i="1"/>
  <c r="Q1125" i="1"/>
  <c r="P1125" i="1"/>
  <c r="O1125" i="1"/>
  <c r="V1124" i="1"/>
  <c r="U1124" i="1"/>
  <c r="T1124" i="1"/>
  <c r="S1124" i="1"/>
  <c r="R1124" i="1"/>
  <c r="Q1124" i="1"/>
  <c r="P1124" i="1"/>
  <c r="O1124" i="1"/>
  <c r="V1123" i="1"/>
  <c r="U1123" i="1"/>
  <c r="T1123" i="1"/>
  <c r="S1123" i="1"/>
  <c r="R1123" i="1"/>
  <c r="Q1123" i="1"/>
  <c r="P1123" i="1"/>
  <c r="O1123" i="1"/>
  <c r="V1122" i="1"/>
  <c r="U1122" i="1"/>
  <c r="T1122" i="1"/>
  <c r="S1122" i="1"/>
  <c r="R1122" i="1"/>
  <c r="Q1122" i="1"/>
  <c r="P1122" i="1"/>
  <c r="O1122" i="1"/>
  <c r="V1121" i="1"/>
  <c r="U1121" i="1"/>
  <c r="T1121" i="1"/>
  <c r="S1121" i="1"/>
  <c r="R1121" i="1"/>
  <c r="Q1121" i="1"/>
  <c r="P1121" i="1"/>
  <c r="O1121" i="1"/>
  <c r="V1120" i="1"/>
  <c r="U1120" i="1"/>
  <c r="T1120" i="1"/>
  <c r="S1120" i="1"/>
  <c r="R1120" i="1"/>
  <c r="Q1120" i="1"/>
  <c r="P1120" i="1"/>
  <c r="O1120" i="1"/>
  <c r="V1119" i="1"/>
  <c r="U1119" i="1"/>
  <c r="T1119" i="1"/>
  <c r="S1119" i="1"/>
  <c r="R1119" i="1"/>
  <c r="Q1119" i="1"/>
  <c r="P1119" i="1"/>
  <c r="O1119" i="1"/>
  <c r="V1118" i="1"/>
  <c r="U1118" i="1"/>
  <c r="T1118" i="1"/>
  <c r="S1118" i="1"/>
  <c r="R1118" i="1"/>
  <c r="Q1118" i="1"/>
  <c r="P1118" i="1"/>
  <c r="O1118" i="1"/>
  <c r="V1117" i="1"/>
  <c r="U1117" i="1"/>
  <c r="T1117" i="1"/>
  <c r="S1117" i="1"/>
  <c r="R1117" i="1"/>
  <c r="Q1117" i="1"/>
  <c r="P1117" i="1"/>
  <c r="O1117" i="1"/>
  <c r="V1116" i="1"/>
  <c r="U1116" i="1"/>
  <c r="T1116" i="1"/>
  <c r="S1116" i="1"/>
  <c r="R1116" i="1"/>
  <c r="Q1116" i="1"/>
  <c r="P1116" i="1"/>
  <c r="O1116" i="1"/>
  <c r="V1115" i="1"/>
  <c r="U1115" i="1"/>
  <c r="T1115" i="1"/>
  <c r="S1115" i="1"/>
  <c r="R1115" i="1"/>
  <c r="Q1115" i="1"/>
  <c r="P1115" i="1"/>
  <c r="O1115" i="1"/>
  <c r="V1114" i="1"/>
  <c r="U1114" i="1"/>
  <c r="T1114" i="1"/>
  <c r="S1114" i="1"/>
  <c r="R1114" i="1"/>
  <c r="Q1114" i="1"/>
  <c r="P1114" i="1"/>
  <c r="O1114" i="1"/>
  <c r="V1113" i="1"/>
  <c r="U1113" i="1"/>
  <c r="T1113" i="1"/>
  <c r="S1113" i="1"/>
  <c r="R1113" i="1"/>
  <c r="Q1113" i="1"/>
  <c r="P1113" i="1"/>
  <c r="O1113" i="1"/>
  <c r="V1112" i="1"/>
  <c r="U1112" i="1"/>
  <c r="T1112" i="1"/>
  <c r="S1112" i="1"/>
  <c r="R1112" i="1"/>
  <c r="Q1112" i="1"/>
  <c r="P1112" i="1"/>
  <c r="O1112" i="1"/>
  <c r="V1111" i="1"/>
  <c r="U1111" i="1"/>
  <c r="T1111" i="1"/>
  <c r="S1111" i="1"/>
  <c r="R1111" i="1"/>
  <c r="Q1111" i="1"/>
  <c r="P1111" i="1"/>
  <c r="O1111" i="1"/>
  <c r="V1110" i="1"/>
  <c r="U1110" i="1"/>
  <c r="T1110" i="1"/>
  <c r="S1110" i="1"/>
  <c r="R1110" i="1"/>
  <c r="Q1110" i="1"/>
  <c r="P1110" i="1"/>
  <c r="O1110" i="1"/>
  <c r="V1109" i="1"/>
  <c r="U1109" i="1"/>
  <c r="T1109" i="1"/>
  <c r="S1109" i="1"/>
  <c r="R1109" i="1"/>
  <c r="Q1109" i="1"/>
  <c r="P1109" i="1"/>
  <c r="O1109" i="1"/>
  <c r="V1108" i="1"/>
  <c r="U1108" i="1"/>
  <c r="T1108" i="1"/>
  <c r="S1108" i="1"/>
  <c r="R1108" i="1"/>
  <c r="Q1108" i="1"/>
  <c r="P1108" i="1"/>
  <c r="O1108" i="1"/>
  <c r="V1107" i="1"/>
  <c r="U1107" i="1"/>
  <c r="T1107" i="1"/>
  <c r="S1107" i="1"/>
  <c r="R1107" i="1"/>
  <c r="Q1107" i="1"/>
  <c r="P1107" i="1"/>
  <c r="O1107" i="1"/>
  <c r="V1106" i="1"/>
  <c r="U1106" i="1"/>
  <c r="T1106" i="1"/>
  <c r="S1106" i="1"/>
  <c r="R1106" i="1"/>
  <c r="Q1106" i="1"/>
  <c r="P1106" i="1"/>
  <c r="O1106" i="1"/>
  <c r="V1105" i="1"/>
  <c r="U1105" i="1"/>
  <c r="T1105" i="1"/>
  <c r="S1105" i="1"/>
  <c r="R1105" i="1"/>
  <c r="Q1105" i="1"/>
  <c r="P1105" i="1"/>
  <c r="O1105" i="1"/>
  <c r="V1104" i="1"/>
  <c r="U1104" i="1"/>
  <c r="T1104" i="1"/>
  <c r="S1104" i="1"/>
  <c r="R1104" i="1"/>
  <c r="Q1104" i="1"/>
  <c r="P1104" i="1"/>
  <c r="O1104" i="1"/>
  <c r="V1103" i="1"/>
  <c r="U1103" i="1"/>
  <c r="T1103" i="1"/>
  <c r="S1103" i="1"/>
  <c r="R1103" i="1"/>
  <c r="Q1103" i="1"/>
  <c r="P1103" i="1"/>
  <c r="O1103" i="1"/>
  <c r="V1102" i="1"/>
  <c r="U1102" i="1"/>
  <c r="T1102" i="1"/>
  <c r="S1102" i="1"/>
  <c r="R1102" i="1"/>
  <c r="Q1102" i="1"/>
  <c r="P1102" i="1"/>
  <c r="O1102" i="1"/>
  <c r="V1101" i="1"/>
  <c r="U1101" i="1"/>
  <c r="T1101" i="1"/>
  <c r="S1101" i="1"/>
  <c r="R1101" i="1"/>
  <c r="Q1101" i="1"/>
  <c r="P1101" i="1"/>
  <c r="O1101" i="1"/>
  <c r="V1100" i="1"/>
  <c r="U1100" i="1"/>
  <c r="T1100" i="1"/>
  <c r="S1100" i="1"/>
  <c r="R1100" i="1"/>
  <c r="Q1100" i="1"/>
  <c r="P1100" i="1"/>
  <c r="O1100" i="1"/>
  <c r="V1099" i="1"/>
  <c r="U1099" i="1"/>
  <c r="T1099" i="1"/>
  <c r="S1099" i="1"/>
  <c r="R1099" i="1"/>
  <c r="Q1099" i="1"/>
  <c r="P1099" i="1"/>
  <c r="O1099" i="1"/>
  <c r="V1098" i="1"/>
  <c r="U1098" i="1"/>
  <c r="T1098" i="1"/>
  <c r="S1098" i="1"/>
  <c r="R1098" i="1"/>
  <c r="Q1098" i="1"/>
  <c r="P1098" i="1"/>
  <c r="O1098" i="1"/>
  <c r="V1097" i="1"/>
  <c r="U1097" i="1"/>
  <c r="T1097" i="1"/>
  <c r="S1097" i="1"/>
  <c r="R1097" i="1"/>
  <c r="Q1097" i="1"/>
  <c r="P1097" i="1"/>
  <c r="O1097" i="1"/>
  <c r="V1096" i="1"/>
  <c r="U1096" i="1"/>
  <c r="T1096" i="1"/>
  <c r="S1096" i="1"/>
  <c r="R1096" i="1"/>
  <c r="Q1096" i="1"/>
  <c r="P1096" i="1"/>
  <c r="O1096" i="1"/>
  <c r="V1095" i="1"/>
  <c r="U1095" i="1"/>
  <c r="T1095" i="1"/>
  <c r="S1095" i="1"/>
  <c r="R1095" i="1"/>
  <c r="Q1095" i="1"/>
  <c r="P1095" i="1"/>
  <c r="O1095" i="1"/>
  <c r="V1094" i="1"/>
  <c r="U1094" i="1"/>
  <c r="T1094" i="1"/>
  <c r="S1094" i="1"/>
  <c r="R1094" i="1"/>
  <c r="Q1094" i="1"/>
  <c r="P1094" i="1"/>
  <c r="O1094" i="1"/>
  <c r="V1093" i="1"/>
  <c r="U1093" i="1"/>
  <c r="T1093" i="1"/>
  <c r="S1093" i="1"/>
  <c r="R1093" i="1"/>
  <c r="Q1093" i="1"/>
  <c r="P1093" i="1"/>
  <c r="O1093" i="1"/>
  <c r="V1092" i="1"/>
  <c r="U1092" i="1"/>
  <c r="T1092" i="1"/>
  <c r="S1092" i="1"/>
  <c r="R1092" i="1"/>
  <c r="Q1092" i="1"/>
  <c r="P1092" i="1"/>
  <c r="O1092" i="1"/>
  <c r="V1091" i="1"/>
  <c r="U1091" i="1"/>
  <c r="T1091" i="1"/>
  <c r="S1091" i="1"/>
  <c r="R1091" i="1"/>
  <c r="Q1091" i="1"/>
  <c r="P1091" i="1"/>
  <c r="O1091" i="1"/>
  <c r="V1090" i="1"/>
  <c r="U1090" i="1"/>
  <c r="T1090" i="1"/>
  <c r="S1090" i="1"/>
  <c r="R1090" i="1"/>
  <c r="Q1090" i="1"/>
  <c r="P1090" i="1"/>
  <c r="O1090" i="1"/>
  <c r="V1089" i="1"/>
  <c r="U1089" i="1"/>
  <c r="T1089" i="1"/>
  <c r="S1089" i="1"/>
  <c r="R1089" i="1"/>
  <c r="Q1089" i="1"/>
  <c r="P1089" i="1"/>
  <c r="O1089" i="1"/>
  <c r="V1088" i="1"/>
  <c r="U1088" i="1"/>
  <c r="T1088" i="1"/>
  <c r="S1088" i="1"/>
  <c r="R1088" i="1"/>
  <c r="Q1088" i="1"/>
  <c r="P1088" i="1"/>
  <c r="O1088" i="1"/>
  <c r="V1087" i="1"/>
  <c r="U1087" i="1"/>
  <c r="T1087" i="1"/>
  <c r="S1087" i="1"/>
  <c r="R1087" i="1"/>
  <c r="Q1087" i="1"/>
  <c r="P1087" i="1"/>
  <c r="O1087" i="1"/>
  <c r="V1086" i="1"/>
  <c r="U1086" i="1"/>
  <c r="T1086" i="1"/>
  <c r="S1086" i="1"/>
  <c r="R1086" i="1"/>
  <c r="Q1086" i="1"/>
  <c r="P1086" i="1"/>
  <c r="O1086" i="1"/>
  <c r="V1085" i="1"/>
  <c r="U1085" i="1"/>
  <c r="T1085" i="1"/>
  <c r="S1085" i="1"/>
  <c r="R1085" i="1"/>
  <c r="Q1085" i="1"/>
  <c r="P1085" i="1"/>
  <c r="O1085" i="1"/>
  <c r="V1084" i="1"/>
  <c r="U1084" i="1"/>
  <c r="T1084" i="1"/>
  <c r="S1084" i="1"/>
  <c r="R1084" i="1"/>
  <c r="Q1084" i="1"/>
  <c r="P1084" i="1"/>
  <c r="O1084" i="1"/>
  <c r="V1083" i="1"/>
  <c r="U1083" i="1"/>
  <c r="T1083" i="1"/>
  <c r="S1083" i="1"/>
  <c r="R1083" i="1"/>
  <c r="Q1083" i="1"/>
  <c r="P1083" i="1"/>
  <c r="O1083" i="1"/>
  <c r="V1082" i="1"/>
  <c r="U1082" i="1"/>
  <c r="T1082" i="1"/>
  <c r="S1082" i="1"/>
  <c r="R1082" i="1"/>
  <c r="Q1082" i="1"/>
  <c r="P1082" i="1"/>
  <c r="O1082" i="1"/>
  <c r="V1081" i="1"/>
  <c r="U1081" i="1"/>
  <c r="T1081" i="1"/>
  <c r="S1081" i="1"/>
  <c r="R1081" i="1"/>
  <c r="Q1081" i="1"/>
  <c r="P1081" i="1"/>
  <c r="O1081" i="1"/>
  <c r="V1080" i="1"/>
  <c r="U1080" i="1"/>
  <c r="T1080" i="1"/>
  <c r="S1080" i="1"/>
  <c r="R1080" i="1"/>
  <c r="Q1080" i="1"/>
  <c r="P1080" i="1"/>
  <c r="O1080" i="1"/>
  <c r="V1079" i="1"/>
  <c r="U1079" i="1"/>
  <c r="T1079" i="1"/>
  <c r="S1079" i="1"/>
  <c r="R1079" i="1"/>
  <c r="Q1079" i="1"/>
  <c r="P1079" i="1"/>
  <c r="O1079" i="1"/>
  <c r="V1078" i="1"/>
  <c r="U1078" i="1"/>
  <c r="T1078" i="1"/>
  <c r="S1078" i="1"/>
  <c r="R1078" i="1"/>
  <c r="Q1078" i="1"/>
  <c r="P1078" i="1"/>
  <c r="O1078" i="1"/>
  <c r="V1077" i="1"/>
  <c r="U1077" i="1"/>
  <c r="T1077" i="1"/>
  <c r="S1077" i="1"/>
  <c r="R1077" i="1"/>
  <c r="Q1077" i="1"/>
  <c r="P1077" i="1"/>
  <c r="O1077" i="1"/>
  <c r="V1076" i="1"/>
  <c r="U1076" i="1"/>
  <c r="T1076" i="1"/>
  <c r="S1076" i="1"/>
  <c r="R1076" i="1"/>
  <c r="Q1076" i="1"/>
  <c r="P1076" i="1"/>
  <c r="O1076" i="1"/>
  <c r="V1075" i="1"/>
  <c r="U1075" i="1"/>
  <c r="T1075" i="1"/>
  <c r="S1075" i="1"/>
  <c r="R1075" i="1"/>
  <c r="Q1075" i="1"/>
  <c r="P1075" i="1"/>
  <c r="O1075" i="1"/>
  <c r="V1074" i="1"/>
  <c r="U1074" i="1"/>
  <c r="T1074" i="1"/>
  <c r="S1074" i="1"/>
  <c r="R1074" i="1"/>
  <c r="Q1074" i="1"/>
  <c r="P1074" i="1"/>
  <c r="O1074" i="1"/>
  <c r="V1073" i="1"/>
  <c r="U1073" i="1"/>
  <c r="T1073" i="1"/>
  <c r="S1073" i="1"/>
  <c r="R1073" i="1"/>
  <c r="Q1073" i="1"/>
  <c r="P1073" i="1"/>
  <c r="O1073" i="1"/>
  <c r="V1072" i="1"/>
  <c r="U1072" i="1"/>
  <c r="T1072" i="1"/>
  <c r="S1072" i="1"/>
  <c r="R1072" i="1"/>
  <c r="Q1072" i="1"/>
  <c r="P1072" i="1"/>
  <c r="O1072" i="1"/>
  <c r="V1071" i="1"/>
  <c r="U1071" i="1"/>
  <c r="T1071" i="1"/>
  <c r="S1071" i="1"/>
  <c r="R1071" i="1"/>
  <c r="Q1071" i="1"/>
  <c r="P1071" i="1"/>
  <c r="O1071" i="1"/>
  <c r="V1070" i="1"/>
  <c r="U1070" i="1"/>
  <c r="T1070" i="1"/>
  <c r="S1070" i="1"/>
  <c r="R1070" i="1"/>
  <c r="Q1070" i="1"/>
  <c r="P1070" i="1"/>
  <c r="O1070" i="1"/>
  <c r="V1069" i="1"/>
  <c r="U1069" i="1"/>
  <c r="T1069" i="1"/>
  <c r="S1069" i="1"/>
  <c r="R1069" i="1"/>
  <c r="Q1069" i="1"/>
  <c r="P1069" i="1"/>
  <c r="O1069" i="1"/>
  <c r="V1068" i="1"/>
  <c r="U1068" i="1"/>
  <c r="T1068" i="1"/>
  <c r="S1068" i="1"/>
  <c r="R1068" i="1"/>
  <c r="Q1068" i="1"/>
  <c r="P1068" i="1"/>
  <c r="O1068" i="1"/>
  <c r="V1067" i="1"/>
  <c r="U1067" i="1"/>
  <c r="T1067" i="1"/>
  <c r="S1067" i="1"/>
  <c r="R1067" i="1"/>
  <c r="Q1067" i="1"/>
  <c r="P1067" i="1"/>
  <c r="O1067" i="1"/>
  <c r="V1066" i="1"/>
  <c r="U1066" i="1"/>
  <c r="T1066" i="1"/>
  <c r="S1066" i="1"/>
  <c r="R1066" i="1"/>
  <c r="Q1066" i="1"/>
  <c r="P1066" i="1"/>
  <c r="O1066" i="1"/>
  <c r="V1065" i="1"/>
  <c r="U1065" i="1"/>
  <c r="T1065" i="1"/>
  <c r="S1065" i="1"/>
  <c r="R1065" i="1"/>
  <c r="Q1065" i="1"/>
  <c r="P1065" i="1"/>
  <c r="O1065" i="1"/>
  <c r="V1064" i="1"/>
  <c r="U1064" i="1"/>
  <c r="T1064" i="1"/>
  <c r="S1064" i="1"/>
  <c r="R1064" i="1"/>
  <c r="Q1064" i="1"/>
  <c r="P1064" i="1"/>
  <c r="O1064" i="1"/>
  <c r="V1063" i="1"/>
  <c r="U1063" i="1"/>
  <c r="T1063" i="1"/>
  <c r="S1063" i="1"/>
  <c r="R1063" i="1"/>
  <c r="Q1063" i="1"/>
  <c r="P1063" i="1"/>
  <c r="O1063" i="1"/>
  <c r="V1062" i="1"/>
  <c r="U1062" i="1"/>
  <c r="T1062" i="1"/>
  <c r="S1062" i="1"/>
  <c r="R1062" i="1"/>
  <c r="Q1062" i="1"/>
  <c r="P1062" i="1"/>
  <c r="O1062" i="1"/>
  <c r="V1061" i="1"/>
  <c r="U1061" i="1"/>
  <c r="T1061" i="1"/>
  <c r="S1061" i="1"/>
  <c r="R1061" i="1"/>
  <c r="Q1061" i="1"/>
  <c r="P1061" i="1"/>
  <c r="O1061" i="1"/>
  <c r="V1060" i="1"/>
  <c r="U1060" i="1"/>
  <c r="T1060" i="1"/>
  <c r="S1060" i="1"/>
  <c r="R1060" i="1"/>
  <c r="Q1060" i="1"/>
  <c r="P1060" i="1"/>
  <c r="O1060" i="1"/>
  <c r="V1059" i="1"/>
  <c r="U1059" i="1"/>
  <c r="T1059" i="1"/>
  <c r="S1059" i="1"/>
  <c r="R1059" i="1"/>
  <c r="Q1059" i="1"/>
  <c r="P1059" i="1"/>
  <c r="O1059" i="1"/>
  <c r="V1058" i="1"/>
  <c r="U1058" i="1"/>
  <c r="T1058" i="1"/>
  <c r="S1058" i="1"/>
  <c r="R1058" i="1"/>
  <c r="Q1058" i="1"/>
  <c r="P1058" i="1"/>
  <c r="O1058" i="1"/>
  <c r="V1057" i="1"/>
  <c r="U1057" i="1"/>
  <c r="T1057" i="1"/>
  <c r="S1057" i="1"/>
  <c r="R1057" i="1"/>
  <c r="Q1057" i="1"/>
  <c r="P1057" i="1"/>
  <c r="O1057" i="1"/>
  <c r="V1056" i="1"/>
  <c r="U1056" i="1"/>
  <c r="T1056" i="1"/>
  <c r="S1056" i="1"/>
  <c r="R1056" i="1"/>
  <c r="Q1056" i="1"/>
  <c r="P1056" i="1"/>
  <c r="O1056" i="1"/>
  <c r="V1055" i="1"/>
  <c r="U1055" i="1"/>
  <c r="T1055" i="1"/>
  <c r="S1055" i="1"/>
  <c r="R1055" i="1"/>
  <c r="Q1055" i="1"/>
  <c r="P1055" i="1"/>
  <c r="O1055" i="1"/>
  <c r="V1054" i="1"/>
  <c r="U1054" i="1"/>
  <c r="T1054" i="1"/>
  <c r="S1054" i="1"/>
  <c r="R1054" i="1"/>
  <c r="Q1054" i="1"/>
  <c r="P1054" i="1"/>
  <c r="O1054" i="1"/>
  <c r="V1053" i="1"/>
  <c r="U1053" i="1"/>
  <c r="T1053" i="1"/>
  <c r="S1053" i="1"/>
  <c r="R1053" i="1"/>
  <c r="Q1053" i="1"/>
  <c r="P1053" i="1"/>
  <c r="O1053" i="1"/>
  <c r="V1052" i="1"/>
  <c r="U1052" i="1"/>
  <c r="T1052" i="1"/>
  <c r="S1052" i="1"/>
  <c r="R1052" i="1"/>
  <c r="Q1052" i="1"/>
  <c r="P1052" i="1"/>
  <c r="O1052" i="1"/>
  <c r="V1051" i="1"/>
  <c r="U1051" i="1"/>
  <c r="T1051" i="1"/>
  <c r="S1051" i="1"/>
  <c r="R1051" i="1"/>
  <c r="Q1051" i="1"/>
  <c r="P1051" i="1"/>
  <c r="O1051" i="1"/>
  <c r="V1050" i="1"/>
  <c r="U1050" i="1"/>
  <c r="T1050" i="1"/>
  <c r="S1050" i="1"/>
  <c r="R1050" i="1"/>
  <c r="Q1050" i="1"/>
  <c r="P1050" i="1"/>
  <c r="O1050" i="1"/>
  <c r="V1049" i="1"/>
  <c r="U1049" i="1"/>
  <c r="T1049" i="1"/>
  <c r="S1049" i="1"/>
  <c r="R1049" i="1"/>
  <c r="Q1049" i="1"/>
  <c r="P1049" i="1"/>
  <c r="O1049" i="1"/>
  <c r="V1048" i="1"/>
  <c r="U1048" i="1"/>
  <c r="T1048" i="1"/>
  <c r="S1048" i="1"/>
  <c r="R1048" i="1"/>
  <c r="Q1048" i="1"/>
  <c r="P1048" i="1"/>
  <c r="O1048" i="1"/>
  <c r="V1047" i="1"/>
  <c r="U1047" i="1"/>
  <c r="T1047" i="1"/>
  <c r="S1047" i="1"/>
  <c r="R1047" i="1"/>
  <c r="Q1047" i="1"/>
  <c r="P1047" i="1"/>
  <c r="O1047" i="1"/>
  <c r="V1046" i="1"/>
  <c r="U1046" i="1"/>
  <c r="T1046" i="1"/>
  <c r="S1046" i="1"/>
  <c r="R1046" i="1"/>
  <c r="Q1046" i="1"/>
  <c r="P1046" i="1"/>
  <c r="O1046" i="1"/>
  <c r="V1045" i="1"/>
  <c r="U1045" i="1"/>
  <c r="T1045" i="1"/>
  <c r="S1045" i="1"/>
  <c r="R1045" i="1"/>
  <c r="Q1045" i="1"/>
  <c r="P1045" i="1"/>
  <c r="O1045" i="1"/>
  <c r="V1044" i="1"/>
  <c r="U1044" i="1"/>
  <c r="T1044" i="1"/>
  <c r="S1044" i="1"/>
  <c r="R1044" i="1"/>
  <c r="Q1044" i="1"/>
  <c r="P1044" i="1"/>
  <c r="O1044" i="1"/>
  <c r="V1043" i="1"/>
  <c r="U1043" i="1"/>
  <c r="T1043" i="1"/>
  <c r="S1043" i="1"/>
  <c r="R1043" i="1"/>
  <c r="Q1043" i="1"/>
  <c r="P1043" i="1"/>
  <c r="O1043" i="1"/>
  <c r="V1042" i="1"/>
  <c r="U1042" i="1"/>
  <c r="T1042" i="1"/>
  <c r="S1042" i="1"/>
  <c r="R1042" i="1"/>
  <c r="Q1042" i="1"/>
  <c r="P1042" i="1"/>
  <c r="O1042" i="1"/>
  <c r="V1041" i="1"/>
  <c r="U1041" i="1"/>
  <c r="T1041" i="1"/>
  <c r="S1041" i="1"/>
  <c r="R1041" i="1"/>
  <c r="Q1041" i="1"/>
  <c r="P1041" i="1"/>
  <c r="O1041" i="1"/>
  <c r="V1040" i="1"/>
  <c r="U1040" i="1"/>
  <c r="T1040" i="1"/>
  <c r="S1040" i="1"/>
  <c r="R1040" i="1"/>
  <c r="Q1040" i="1"/>
  <c r="P1040" i="1"/>
  <c r="O1040" i="1"/>
  <c r="V1039" i="1"/>
  <c r="U1039" i="1"/>
  <c r="T1039" i="1"/>
  <c r="S1039" i="1"/>
  <c r="R1039" i="1"/>
  <c r="Q1039" i="1"/>
  <c r="P1039" i="1"/>
  <c r="O1039" i="1"/>
  <c r="V1038" i="1"/>
  <c r="U1038" i="1"/>
  <c r="T1038" i="1"/>
  <c r="S1038" i="1"/>
  <c r="R1038" i="1"/>
  <c r="Q1038" i="1"/>
  <c r="P1038" i="1"/>
  <c r="O1038" i="1"/>
  <c r="V1037" i="1"/>
  <c r="U1037" i="1"/>
  <c r="T1037" i="1"/>
  <c r="S1037" i="1"/>
  <c r="R1037" i="1"/>
  <c r="Q1037" i="1"/>
  <c r="P1037" i="1"/>
  <c r="O1037" i="1"/>
  <c r="V1036" i="1"/>
  <c r="U1036" i="1"/>
  <c r="T1036" i="1"/>
  <c r="S1036" i="1"/>
  <c r="R1036" i="1"/>
  <c r="Q1036" i="1"/>
  <c r="P1036" i="1"/>
  <c r="O1036" i="1"/>
  <c r="V1035" i="1"/>
  <c r="U1035" i="1"/>
  <c r="T1035" i="1"/>
  <c r="S1035" i="1"/>
  <c r="R1035" i="1"/>
  <c r="Q1035" i="1"/>
  <c r="P1035" i="1"/>
  <c r="O1035" i="1"/>
  <c r="V1034" i="1"/>
  <c r="U1034" i="1"/>
  <c r="T1034" i="1"/>
  <c r="S1034" i="1"/>
  <c r="R1034" i="1"/>
  <c r="Q1034" i="1"/>
  <c r="P1034" i="1"/>
  <c r="O1034" i="1"/>
  <c r="V1033" i="1"/>
  <c r="U1033" i="1"/>
  <c r="T1033" i="1"/>
  <c r="S1033" i="1"/>
  <c r="R1033" i="1"/>
  <c r="Q1033" i="1"/>
  <c r="P1033" i="1"/>
  <c r="O1033" i="1"/>
  <c r="V1032" i="1"/>
  <c r="U1032" i="1"/>
  <c r="T1032" i="1"/>
  <c r="S1032" i="1"/>
  <c r="R1032" i="1"/>
  <c r="Q1032" i="1"/>
  <c r="P1032" i="1"/>
  <c r="O1032" i="1"/>
  <c r="V1031" i="1"/>
  <c r="U1031" i="1"/>
  <c r="T1031" i="1"/>
  <c r="S1031" i="1"/>
  <c r="R1031" i="1"/>
  <c r="Q1031" i="1"/>
  <c r="P1031" i="1"/>
  <c r="O1031" i="1"/>
  <c r="V1030" i="1"/>
  <c r="U1030" i="1"/>
  <c r="T1030" i="1"/>
  <c r="S1030" i="1"/>
  <c r="R1030" i="1"/>
  <c r="Q1030" i="1"/>
  <c r="P1030" i="1"/>
  <c r="O1030" i="1"/>
  <c r="V1029" i="1"/>
  <c r="U1029" i="1"/>
  <c r="T1029" i="1"/>
  <c r="S1029" i="1"/>
  <c r="R1029" i="1"/>
  <c r="Q1029" i="1"/>
  <c r="P1029" i="1"/>
  <c r="O1029" i="1"/>
  <c r="V1028" i="1"/>
  <c r="U1028" i="1"/>
  <c r="T1028" i="1"/>
  <c r="S1028" i="1"/>
  <c r="R1028" i="1"/>
  <c r="Q1028" i="1"/>
  <c r="P1028" i="1"/>
  <c r="O1028" i="1"/>
  <c r="V1027" i="1"/>
  <c r="U1027" i="1"/>
  <c r="T1027" i="1"/>
  <c r="S1027" i="1"/>
  <c r="R1027" i="1"/>
  <c r="Q1027" i="1"/>
  <c r="P1027" i="1"/>
  <c r="O1027" i="1"/>
  <c r="V1026" i="1"/>
  <c r="U1026" i="1"/>
  <c r="T1026" i="1"/>
  <c r="S1026" i="1"/>
  <c r="R1026" i="1"/>
  <c r="Q1026" i="1"/>
  <c r="P1026" i="1"/>
  <c r="O1026" i="1"/>
  <c r="V1025" i="1"/>
  <c r="U1025" i="1"/>
  <c r="T1025" i="1"/>
  <c r="S1025" i="1"/>
  <c r="R1025" i="1"/>
  <c r="Q1025" i="1"/>
  <c r="P1025" i="1"/>
  <c r="O1025" i="1"/>
  <c r="V1024" i="1"/>
  <c r="U1024" i="1"/>
  <c r="T1024" i="1"/>
  <c r="S1024" i="1"/>
  <c r="R1024" i="1"/>
  <c r="Q1024" i="1"/>
  <c r="P1024" i="1"/>
  <c r="O1024" i="1"/>
  <c r="V1023" i="1"/>
  <c r="U1023" i="1"/>
  <c r="T1023" i="1"/>
  <c r="S1023" i="1"/>
  <c r="R1023" i="1"/>
  <c r="Q1023" i="1"/>
  <c r="P1023" i="1"/>
  <c r="O1023" i="1"/>
  <c r="V1022" i="1"/>
  <c r="U1022" i="1"/>
  <c r="T1022" i="1"/>
  <c r="S1022" i="1"/>
  <c r="R1022" i="1"/>
  <c r="Q1022" i="1"/>
  <c r="P1022" i="1"/>
  <c r="O1022" i="1"/>
  <c r="V1021" i="1"/>
  <c r="U1021" i="1"/>
  <c r="T1021" i="1"/>
  <c r="S1021" i="1"/>
  <c r="R1021" i="1"/>
  <c r="Q1021" i="1"/>
  <c r="P1021" i="1"/>
  <c r="O1021" i="1"/>
  <c r="V1020" i="1"/>
  <c r="U1020" i="1"/>
  <c r="T1020" i="1"/>
  <c r="S1020" i="1"/>
  <c r="R1020" i="1"/>
  <c r="Q1020" i="1"/>
  <c r="P1020" i="1"/>
  <c r="O1020" i="1"/>
  <c r="V1019" i="1"/>
  <c r="U1019" i="1"/>
  <c r="T1019" i="1"/>
  <c r="S1019" i="1"/>
  <c r="R1019" i="1"/>
  <c r="Q1019" i="1"/>
  <c r="P1019" i="1"/>
  <c r="O1019" i="1"/>
  <c r="V1018" i="1"/>
  <c r="U1018" i="1"/>
  <c r="T1018" i="1"/>
  <c r="S1018" i="1"/>
  <c r="R1018" i="1"/>
  <c r="Q1018" i="1"/>
  <c r="P1018" i="1"/>
  <c r="O1018" i="1"/>
  <c r="V1017" i="1"/>
  <c r="U1017" i="1"/>
  <c r="T1017" i="1"/>
  <c r="S1017" i="1"/>
  <c r="R1017" i="1"/>
  <c r="Q1017" i="1"/>
  <c r="P1017" i="1"/>
  <c r="O1017" i="1"/>
  <c r="V1016" i="1"/>
  <c r="U1016" i="1"/>
  <c r="T1016" i="1"/>
  <c r="S1016" i="1"/>
  <c r="R1016" i="1"/>
  <c r="Q1016" i="1"/>
  <c r="P1016" i="1"/>
  <c r="O1016" i="1"/>
  <c r="V1015" i="1"/>
  <c r="U1015" i="1"/>
  <c r="T1015" i="1"/>
  <c r="S1015" i="1"/>
  <c r="R1015" i="1"/>
  <c r="Q1015" i="1"/>
  <c r="P1015" i="1"/>
  <c r="O1015" i="1"/>
  <c r="V1014" i="1"/>
  <c r="U1014" i="1"/>
  <c r="T1014" i="1"/>
  <c r="S1014" i="1"/>
  <c r="R1014" i="1"/>
  <c r="Q1014" i="1"/>
  <c r="P1014" i="1"/>
  <c r="O1014" i="1"/>
  <c r="V1013" i="1"/>
  <c r="U1013" i="1"/>
  <c r="T1013" i="1"/>
  <c r="S1013" i="1"/>
  <c r="R1013" i="1"/>
  <c r="Q1013" i="1"/>
  <c r="P1013" i="1"/>
  <c r="O1013" i="1"/>
  <c r="V1012" i="1"/>
  <c r="U1012" i="1"/>
  <c r="T1012" i="1"/>
  <c r="S1012" i="1"/>
  <c r="R1012" i="1"/>
  <c r="Q1012" i="1"/>
  <c r="P1012" i="1"/>
  <c r="O1012" i="1"/>
  <c r="V1011" i="1"/>
  <c r="U1011" i="1"/>
  <c r="T1011" i="1"/>
  <c r="S1011" i="1"/>
  <c r="R1011" i="1"/>
  <c r="Q1011" i="1"/>
  <c r="P1011" i="1"/>
  <c r="O1011" i="1"/>
  <c r="V1010" i="1"/>
  <c r="U1010" i="1"/>
  <c r="T1010" i="1"/>
  <c r="S1010" i="1"/>
  <c r="R1010" i="1"/>
  <c r="Q1010" i="1"/>
  <c r="P1010" i="1"/>
  <c r="O1010" i="1"/>
  <c r="V1009" i="1"/>
  <c r="U1009" i="1"/>
  <c r="T1009" i="1"/>
  <c r="S1009" i="1"/>
  <c r="R1009" i="1"/>
  <c r="Q1009" i="1"/>
  <c r="P1009" i="1"/>
  <c r="O1009" i="1"/>
  <c r="V1008" i="1"/>
  <c r="U1008" i="1"/>
  <c r="T1008" i="1"/>
  <c r="S1008" i="1"/>
  <c r="R1008" i="1"/>
  <c r="Q1008" i="1"/>
  <c r="P1008" i="1"/>
  <c r="O1008" i="1"/>
  <c r="V1007" i="1"/>
  <c r="U1007" i="1"/>
  <c r="T1007" i="1"/>
  <c r="S1007" i="1"/>
  <c r="R1007" i="1"/>
  <c r="Q1007" i="1"/>
  <c r="P1007" i="1"/>
  <c r="O1007" i="1"/>
  <c r="V1006" i="1"/>
  <c r="U1006" i="1"/>
  <c r="T1006" i="1"/>
  <c r="S1006" i="1"/>
  <c r="R1006" i="1"/>
  <c r="Q1006" i="1"/>
  <c r="P1006" i="1"/>
  <c r="O1006" i="1"/>
  <c r="V1005" i="1"/>
  <c r="U1005" i="1"/>
  <c r="T1005" i="1"/>
  <c r="S1005" i="1"/>
  <c r="R1005" i="1"/>
  <c r="Q1005" i="1"/>
  <c r="P1005" i="1"/>
  <c r="O1005" i="1"/>
  <c r="V1004" i="1"/>
  <c r="U1004" i="1"/>
  <c r="T1004" i="1"/>
  <c r="S1004" i="1"/>
  <c r="R1004" i="1"/>
  <c r="Q1004" i="1"/>
  <c r="P1004" i="1"/>
  <c r="O1004" i="1"/>
  <c r="V1003" i="1"/>
  <c r="U1003" i="1"/>
  <c r="T1003" i="1"/>
  <c r="S1003" i="1"/>
  <c r="R1003" i="1"/>
  <c r="Q1003" i="1"/>
  <c r="P1003" i="1"/>
  <c r="O1003" i="1"/>
  <c r="V1002" i="1"/>
  <c r="U1002" i="1"/>
  <c r="T1002" i="1"/>
  <c r="S1002" i="1"/>
  <c r="R1002" i="1"/>
  <c r="Q1002" i="1"/>
  <c r="P1002" i="1"/>
  <c r="O1002" i="1"/>
  <c r="V1001" i="1"/>
  <c r="U1001" i="1"/>
  <c r="T1001" i="1"/>
  <c r="S1001" i="1"/>
  <c r="R1001" i="1"/>
  <c r="Q1001" i="1"/>
  <c r="P1001" i="1"/>
  <c r="O1001" i="1"/>
  <c r="V1000" i="1"/>
  <c r="U1000" i="1"/>
  <c r="T1000" i="1"/>
  <c r="S1000" i="1"/>
  <c r="R1000" i="1"/>
  <c r="Q1000" i="1"/>
  <c r="P1000" i="1"/>
  <c r="O1000" i="1"/>
  <c r="V999" i="1"/>
  <c r="U999" i="1"/>
  <c r="T999" i="1"/>
  <c r="S999" i="1"/>
  <c r="R999" i="1"/>
  <c r="Q999" i="1"/>
  <c r="P999" i="1"/>
  <c r="O999" i="1"/>
  <c r="V998" i="1"/>
  <c r="U998" i="1"/>
  <c r="T998" i="1"/>
  <c r="S998" i="1"/>
  <c r="R998" i="1"/>
  <c r="Q998" i="1"/>
  <c r="P998" i="1"/>
  <c r="O998" i="1"/>
  <c r="V997" i="1"/>
  <c r="U997" i="1"/>
  <c r="T997" i="1"/>
  <c r="S997" i="1"/>
  <c r="R997" i="1"/>
  <c r="Q997" i="1"/>
  <c r="P997" i="1"/>
  <c r="O997" i="1"/>
  <c r="V996" i="1"/>
  <c r="U996" i="1"/>
  <c r="T996" i="1"/>
  <c r="S996" i="1"/>
  <c r="R996" i="1"/>
  <c r="Q996" i="1"/>
  <c r="P996" i="1"/>
  <c r="O996" i="1"/>
  <c r="V995" i="1"/>
  <c r="U995" i="1"/>
  <c r="T995" i="1"/>
  <c r="S995" i="1"/>
  <c r="R995" i="1"/>
  <c r="Q995" i="1"/>
  <c r="P995" i="1"/>
  <c r="O995" i="1"/>
  <c r="V994" i="1"/>
  <c r="U994" i="1"/>
  <c r="T994" i="1"/>
  <c r="S994" i="1"/>
  <c r="R994" i="1"/>
  <c r="Q994" i="1"/>
  <c r="P994" i="1"/>
  <c r="O994" i="1"/>
  <c r="V993" i="1"/>
  <c r="U993" i="1"/>
  <c r="T993" i="1"/>
  <c r="S993" i="1"/>
  <c r="R993" i="1"/>
  <c r="Q993" i="1"/>
  <c r="P993" i="1"/>
  <c r="O993" i="1"/>
  <c r="V992" i="1"/>
  <c r="U992" i="1"/>
  <c r="T992" i="1"/>
  <c r="S992" i="1"/>
  <c r="R992" i="1"/>
  <c r="Q992" i="1"/>
  <c r="P992" i="1"/>
  <c r="O992" i="1"/>
  <c r="V991" i="1"/>
  <c r="U991" i="1"/>
  <c r="T991" i="1"/>
  <c r="S991" i="1"/>
  <c r="R991" i="1"/>
  <c r="Q991" i="1"/>
  <c r="P991" i="1"/>
  <c r="O991" i="1"/>
  <c r="V990" i="1"/>
  <c r="U990" i="1"/>
  <c r="T990" i="1"/>
  <c r="S990" i="1"/>
  <c r="R990" i="1"/>
  <c r="Q990" i="1"/>
  <c r="P990" i="1"/>
  <c r="O990" i="1"/>
  <c r="V989" i="1"/>
  <c r="U989" i="1"/>
  <c r="T989" i="1"/>
  <c r="S989" i="1"/>
  <c r="R989" i="1"/>
  <c r="Q989" i="1"/>
  <c r="P989" i="1"/>
  <c r="O989" i="1"/>
  <c r="V988" i="1"/>
  <c r="U988" i="1"/>
  <c r="T988" i="1"/>
  <c r="S988" i="1"/>
  <c r="R988" i="1"/>
  <c r="Q988" i="1"/>
  <c r="P988" i="1"/>
  <c r="O988" i="1"/>
  <c r="V987" i="1"/>
  <c r="U987" i="1"/>
  <c r="T987" i="1"/>
  <c r="S987" i="1"/>
  <c r="R987" i="1"/>
  <c r="Q987" i="1"/>
  <c r="P987" i="1"/>
  <c r="O987" i="1"/>
  <c r="V986" i="1"/>
  <c r="U986" i="1"/>
  <c r="T986" i="1"/>
  <c r="S986" i="1"/>
  <c r="R986" i="1"/>
  <c r="Q986" i="1"/>
  <c r="P986" i="1"/>
  <c r="O986" i="1"/>
  <c r="V985" i="1"/>
  <c r="U985" i="1"/>
  <c r="T985" i="1"/>
  <c r="S985" i="1"/>
  <c r="R985" i="1"/>
  <c r="Q985" i="1"/>
  <c r="P985" i="1"/>
  <c r="O985" i="1"/>
  <c r="V984" i="1"/>
  <c r="U984" i="1"/>
  <c r="T984" i="1"/>
  <c r="S984" i="1"/>
  <c r="R984" i="1"/>
  <c r="Q984" i="1"/>
  <c r="P984" i="1"/>
  <c r="O984" i="1"/>
  <c r="V983" i="1"/>
  <c r="U983" i="1"/>
  <c r="T983" i="1"/>
  <c r="S983" i="1"/>
  <c r="R983" i="1"/>
  <c r="Q983" i="1"/>
  <c r="P983" i="1"/>
  <c r="O983" i="1"/>
  <c r="V982" i="1"/>
  <c r="U982" i="1"/>
  <c r="T982" i="1"/>
  <c r="S982" i="1"/>
  <c r="R982" i="1"/>
  <c r="Q982" i="1"/>
  <c r="P982" i="1"/>
  <c r="O982" i="1"/>
  <c r="V981" i="1"/>
  <c r="U981" i="1"/>
  <c r="T981" i="1"/>
  <c r="S981" i="1"/>
  <c r="R981" i="1"/>
  <c r="Q981" i="1"/>
  <c r="P981" i="1"/>
  <c r="O981" i="1"/>
  <c r="V980" i="1"/>
  <c r="U980" i="1"/>
  <c r="T980" i="1"/>
  <c r="S980" i="1"/>
  <c r="R980" i="1"/>
  <c r="Q980" i="1"/>
  <c r="P980" i="1"/>
  <c r="O980" i="1"/>
  <c r="V979" i="1"/>
  <c r="U979" i="1"/>
  <c r="T979" i="1"/>
  <c r="S979" i="1"/>
  <c r="R979" i="1"/>
  <c r="Q979" i="1"/>
  <c r="P979" i="1"/>
  <c r="O979" i="1"/>
  <c r="V978" i="1"/>
  <c r="U978" i="1"/>
  <c r="T978" i="1"/>
  <c r="S978" i="1"/>
  <c r="R978" i="1"/>
  <c r="Q978" i="1"/>
  <c r="P978" i="1"/>
  <c r="O978" i="1"/>
  <c r="V977" i="1"/>
  <c r="U977" i="1"/>
  <c r="T977" i="1"/>
  <c r="S977" i="1"/>
  <c r="R977" i="1"/>
  <c r="Q977" i="1"/>
  <c r="P977" i="1"/>
  <c r="O977" i="1"/>
  <c r="V976" i="1"/>
  <c r="U976" i="1"/>
  <c r="T976" i="1"/>
  <c r="S976" i="1"/>
  <c r="R976" i="1"/>
  <c r="Q976" i="1"/>
  <c r="P976" i="1"/>
  <c r="O976" i="1"/>
  <c r="V975" i="1"/>
  <c r="U975" i="1"/>
  <c r="T975" i="1"/>
  <c r="S975" i="1"/>
  <c r="R975" i="1"/>
  <c r="Q975" i="1"/>
  <c r="P975" i="1"/>
  <c r="O975" i="1"/>
  <c r="V974" i="1"/>
  <c r="U974" i="1"/>
  <c r="T974" i="1"/>
  <c r="S974" i="1"/>
  <c r="R974" i="1"/>
  <c r="Q974" i="1"/>
  <c r="P974" i="1"/>
  <c r="O974" i="1"/>
  <c r="V973" i="1"/>
  <c r="U973" i="1"/>
  <c r="T973" i="1"/>
  <c r="S973" i="1"/>
  <c r="R973" i="1"/>
  <c r="Q973" i="1"/>
  <c r="P973" i="1"/>
  <c r="O973" i="1"/>
  <c r="V972" i="1"/>
  <c r="U972" i="1"/>
  <c r="T972" i="1"/>
  <c r="S972" i="1"/>
  <c r="R972" i="1"/>
  <c r="Q972" i="1"/>
  <c r="P972" i="1"/>
  <c r="O972" i="1"/>
  <c r="V971" i="1"/>
  <c r="U971" i="1"/>
  <c r="T971" i="1"/>
  <c r="S971" i="1"/>
  <c r="R971" i="1"/>
  <c r="Q971" i="1"/>
  <c r="P971" i="1"/>
  <c r="O971" i="1"/>
  <c r="V970" i="1"/>
  <c r="U970" i="1"/>
  <c r="T970" i="1"/>
  <c r="S970" i="1"/>
  <c r="R970" i="1"/>
  <c r="Q970" i="1"/>
  <c r="P970" i="1"/>
  <c r="O970" i="1"/>
  <c r="V969" i="1"/>
  <c r="U969" i="1"/>
  <c r="T969" i="1"/>
  <c r="S969" i="1"/>
  <c r="R969" i="1"/>
  <c r="Q969" i="1"/>
  <c r="P969" i="1"/>
  <c r="O969" i="1"/>
  <c r="V968" i="1"/>
  <c r="U968" i="1"/>
  <c r="T968" i="1"/>
  <c r="S968" i="1"/>
  <c r="R968" i="1"/>
  <c r="Q968" i="1"/>
  <c r="P968" i="1"/>
  <c r="O968" i="1"/>
  <c r="V967" i="1"/>
  <c r="U967" i="1"/>
  <c r="T967" i="1"/>
  <c r="S967" i="1"/>
  <c r="R967" i="1"/>
  <c r="Q967" i="1"/>
  <c r="P967" i="1"/>
  <c r="O967" i="1"/>
  <c r="V966" i="1"/>
  <c r="U966" i="1"/>
  <c r="T966" i="1"/>
  <c r="S966" i="1"/>
  <c r="R966" i="1"/>
  <c r="Q966" i="1"/>
  <c r="P966" i="1"/>
  <c r="O966" i="1"/>
  <c r="V965" i="1"/>
  <c r="U965" i="1"/>
  <c r="T965" i="1"/>
  <c r="S965" i="1"/>
  <c r="R965" i="1"/>
  <c r="Q965" i="1"/>
  <c r="P965" i="1"/>
  <c r="O965" i="1"/>
  <c r="V964" i="1"/>
  <c r="U964" i="1"/>
  <c r="T964" i="1"/>
  <c r="S964" i="1"/>
  <c r="R964" i="1"/>
  <c r="Q964" i="1"/>
  <c r="P964" i="1"/>
  <c r="O964" i="1"/>
  <c r="V963" i="1"/>
  <c r="U963" i="1"/>
  <c r="T963" i="1"/>
  <c r="S963" i="1"/>
  <c r="R963" i="1"/>
  <c r="Q963" i="1"/>
  <c r="P963" i="1"/>
  <c r="O963" i="1"/>
  <c r="V962" i="1"/>
  <c r="U962" i="1"/>
  <c r="T962" i="1"/>
  <c r="S962" i="1"/>
  <c r="R962" i="1"/>
  <c r="Q962" i="1"/>
  <c r="P962" i="1"/>
  <c r="O962" i="1"/>
  <c r="V961" i="1"/>
  <c r="U961" i="1"/>
  <c r="T961" i="1"/>
  <c r="S961" i="1"/>
  <c r="R961" i="1"/>
  <c r="Q961" i="1"/>
  <c r="P961" i="1"/>
  <c r="O961" i="1"/>
  <c r="V960" i="1"/>
  <c r="U960" i="1"/>
  <c r="T960" i="1"/>
  <c r="S960" i="1"/>
  <c r="R960" i="1"/>
  <c r="Q960" i="1"/>
  <c r="P960" i="1"/>
  <c r="O960" i="1"/>
  <c r="V959" i="1"/>
  <c r="U959" i="1"/>
  <c r="T959" i="1"/>
  <c r="S959" i="1"/>
  <c r="R959" i="1"/>
  <c r="Q959" i="1"/>
  <c r="P959" i="1"/>
  <c r="O959" i="1"/>
  <c r="V958" i="1"/>
  <c r="U958" i="1"/>
  <c r="T958" i="1"/>
  <c r="S958" i="1"/>
  <c r="R958" i="1"/>
  <c r="Q958" i="1"/>
  <c r="P958" i="1"/>
  <c r="O958" i="1"/>
  <c r="V957" i="1"/>
  <c r="U957" i="1"/>
  <c r="T957" i="1"/>
  <c r="S957" i="1"/>
  <c r="R957" i="1"/>
  <c r="Q957" i="1"/>
  <c r="P957" i="1"/>
  <c r="O957" i="1"/>
  <c r="V956" i="1"/>
  <c r="U956" i="1"/>
  <c r="T956" i="1"/>
  <c r="S956" i="1"/>
  <c r="R956" i="1"/>
  <c r="Q956" i="1"/>
  <c r="P956" i="1"/>
  <c r="O956" i="1"/>
  <c r="V955" i="1"/>
  <c r="U955" i="1"/>
  <c r="T955" i="1"/>
  <c r="S955" i="1"/>
  <c r="R955" i="1"/>
  <c r="Q955" i="1"/>
  <c r="P955" i="1"/>
  <c r="O955" i="1"/>
  <c r="V954" i="1"/>
  <c r="U954" i="1"/>
  <c r="T954" i="1"/>
  <c r="S954" i="1"/>
  <c r="R954" i="1"/>
  <c r="Q954" i="1"/>
  <c r="P954" i="1"/>
  <c r="O954" i="1"/>
  <c r="V953" i="1"/>
  <c r="U953" i="1"/>
  <c r="T953" i="1"/>
  <c r="S953" i="1"/>
  <c r="R953" i="1"/>
  <c r="Q953" i="1"/>
  <c r="P953" i="1"/>
  <c r="O953" i="1"/>
  <c r="V952" i="1"/>
  <c r="U952" i="1"/>
  <c r="T952" i="1"/>
  <c r="S952" i="1"/>
  <c r="R952" i="1"/>
  <c r="Q952" i="1"/>
  <c r="P952" i="1"/>
  <c r="O952" i="1"/>
  <c r="V951" i="1"/>
  <c r="U951" i="1"/>
  <c r="T951" i="1"/>
  <c r="S951" i="1"/>
  <c r="R951" i="1"/>
  <c r="Q951" i="1"/>
  <c r="P951" i="1"/>
  <c r="O951" i="1"/>
  <c r="V950" i="1"/>
  <c r="U950" i="1"/>
  <c r="T950" i="1"/>
  <c r="S950" i="1"/>
  <c r="R950" i="1"/>
  <c r="Q950" i="1"/>
  <c r="P950" i="1"/>
  <c r="O950" i="1"/>
  <c r="V949" i="1"/>
  <c r="U949" i="1"/>
  <c r="T949" i="1"/>
  <c r="S949" i="1"/>
  <c r="R949" i="1"/>
  <c r="Q949" i="1"/>
  <c r="P949" i="1"/>
  <c r="O949" i="1"/>
  <c r="V948" i="1"/>
  <c r="U948" i="1"/>
  <c r="T948" i="1"/>
  <c r="S948" i="1"/>
  <c r="R948" i="1"/>
  <c r="Q948" i="1"/>
  <c r="P948" i="1"/>
  <c r="O948" i="1"/>
  <c r="V947" i="1"/>
  <c r="U947" i="1"/>
  <c r="T947" i="1"/>
  <c r="S947" i="1"/>
  <c r="R947" i="1"/>
  <c r="Q947" i="1"/>
  <c r="P947" i="1"/>
  <c r="O947" i="1"/>
  <c r="V946" i="1"/>
  <c r="U946" i="1"/>
  <c r="T946" i="1"/>
  <c r="S946" i="1"/>
  <c r="R946" i="1"/>
  <c r="Q946" i="1"/>
  <c r="P946" i="1"/>
  <c r="O946" i="1"/>
  <c r="V945" i="1"/>
  <c r="U945" i="1"/>
  <c r="T945" i="1"/>
  <c r="S945" i="1"/>
  <c r="R945" i="1"/>
  <c r="Q945" i="1"/>
  <c r="P945" i="1"/>
  <c r="O945" i="1"/>
  <c r="V944" i="1"/>
  <c r="U944" i="1"/>
  <c r="T944" i="1"/>
  <c r="S944" i="1"/>
  <c r="R944" i="1"/>
  <c r="Q944" i="1"/>
  <c r="P944" i="1"/>
  <c r="O944" i="1"/>
  <c r="V943" i="1"/>
  <c r="U943" i="1"/>
  <c r="T943" i="1"/>
  <c r="S943" i="1"/>
  <c r="R943" i="1"/>
  <c r="Q943" i="1"/>
  <c r="P943" i="1"/>
  <c r="O943" i="1"/>
  <c r="V942" i="1"/>
  <c r="U942" i="1"/>
  <c r="T942" i="1"/>
  <c r="S942" i="1"/>
  <c r="R942" i="1"/>
  <c r="Q942" i="1"/>
  <c r="P942" i="1"/>
  <c r="O942" i="1"/>
  <c r="V941" i="1"/>
  <c r="U941" i="1"/>
  <c r="T941" i="1"/>
  <c r="S941" i="1"/>
  <c r="R941" i="1"/>
  <c r="Q941" i="1"/>
  <c r="P941" i="1"/>
  <c r="O941" i="1"/>
  <c r="V940" i="1"/>
  <c r="U940" i="1"/>
  <c r="T940" i="1"/>
  <c r="S940" i="1"/>
  <c r="R940" i="1"/>
  <c r="Q940" i="1"/>
  <c r="P940" i="1"/>
  <c r="O940" i="1"/>
  <c r="V939" i="1"/>
  <c r="U939" i="1"/>
  <c r="T939" i="1"/>
  <c r="S939" i="1"/>
  <c r="R939" i="1"/>
  <c r="Q939" i="1"/>
  <c r="P939" i="1"/>
  <c r="O939" i="1"/>
  <c r="V938" i="1"/>
  <c r="U938" i="1"/>
  <c r="T938" i="1"/>
  <c r="S938" i="1"/>
  <c r="R938" i="1"/>
  <c r="Q938" i="1"/>
  <c r="P938" i="1"/>
  <c r="O938" i="1"/>
  <c r="V937" i="1"/>
  <c r="U937" i="1"/>
  <c r="T937" i="1"/>
  <c r="S937" i="1"/>
  <c r="R937" i="1"/>
  <c r="Q937" i="1"/>
  <c r="P937" i="1"/>
  <c r="O937" i="1"/>
  <c r="V936" i="1"/>
  <c r="U936" i="1"/>
  <c r="T936" i="1"/>
  <c r="S936" i="1"/>
  <c r="R936" i="1"/>
  <c r="Q936" i="1"/>
  <c r="P936" i="1"/>
  <c r="O936" i="1"/>
  <c r="V935" i="1"/>
  <c r="U935" i="1"/>
  <c r="T935" i="1"/>
  <c r="S935" i="1"/>
  <c r="R935" i="1"/>
  <c r="Q935" i="1"/>
  <c r="P935" i="1"/>
  <c r="O935" i="1"/>
  <c r="V934" i="1"/>
  <c r="U934" i="1"/>
  <c r="T934" i="1"/>
  <c r="S934" i="1"/>
  <c r="R934" i="1"/>
  <c r="Q934" i="1"/>
  <c r="P934" i="1"/>
  <c r="O934" i="1"/>
  <c r="V933" i="1"/>
  <c r="U933" i="1"/>
  <c r="T933" i="1"/>
  <c r="S933" i="1"/>
  <c r="R933" i="1"/>
  <c r="Q933" i="1"/>
  <c r="P933" i="1"/>
  <c r="O933" i="1"/>
  <c r="V932" i="1"/>
  <c r="U932" i="1"/>
  <c r="T932" i="1"/>
  <c r="S932" i="1"/>
  <c r="R932" i="1"/>
  <c r="Q932" i="1"/>
  <c r="P932" i="1"/>
  <c r="O932" i="1"/>
  <c r="V931" i="1"/>
  <c r="U931" i="1"/>
  <c r="T931" i="1"/>
  <c r="S931" i="1"/>
  <c r="R931" i="1"/>
  <c r="Q931" i="1"/>
  <c r="P931" i="1"/>
  <c r="O931" i="1"/>
  <c r="V930" i="1"/>
  <c r="U930" i="1"/>
  <c r="T930" i="1"/>
  <c r="S930" i="1"/>
  <c r="R930" i="1"/>
  <c r="Q930" i="1"/>
  <c r="P930" i="1"/>
  <c r="O930" i="1"/>
  <c r="V929" i="1"/>
  <c r="U929" i="1"/>
  <c r="T929" i="1"/>
  <c r="S929" i="1"/>
  <c r="R929" i="1"/>
  <c r="Q929" i="1"/>
  <c r="P929" i="1"/>
  <c r="O929" i="1"/>
  <c r="V928" i="1"/>
  <c r="U928" i="1"/>
  <c r="T928" i="1"/>
  <c r="S928" i="1"/>
  <c r="R928" i="1"/>
  <c r="Q928" i="1"/>
  <c r="P928" i="1"/>
  <c r="O928" i="1"/>
  <c r="V927" i="1"/>
  <c r="U927" i="1"/>
  <c r="T927" i="1"/>
  <c r="S927" i="1"/>
  <c r="R927" i="1"/>
  <c r="Q927" i="1"/>
  <c r="P927" i="1"/>
  <c r="O927" i="1"/>
  <c r="V926" i="1"/>
  <c r="U926" i="1"/>
  <c r="T926" i="1"/>
  <c r="S926" i="1"/>
  <c r="R926" i="1"/>
  <c r="Q926" i="1"/>
  <c r="P926" i="1"/>
  <c r="O926" i="1"/>
  <c r="V925" i="1"/>
  <c r="U925" i="1"/>
  <c r="T925" i="1"/>
  <c r="S925" i="1"/>
  <c r="R925" i="1"/>
  <c r="Q925" i="1"/>
  <c r="P925" i="1"/>
  <c r="O925" i="1"/>
  <c r="V924" i="1"/>
  <c r="U924" i="1"/>
  <c r="T924" i="1"/>
  <c r="S924" i="1"/>
  <c r="R924" i="1"/>
  <c r="Q924" i="1"/>
  <c r="P924" i="1"/>
  <c r="O924" i="1"/>
  <c r="V923" i="1"/>
  <c r="U923" i="1"/>
  <c r="T923" i="1"/>
  <c r="S923" i="1"/>
  <c r="R923" i="1"/>
  <c r="Q923" i="1"/>
  <c r="P923" i="1"/>
  <c r="O923" i="1"/>
  <c r="V922" i="1"/>
  <c r="U922" i="1"/>
  <c r="T922" i="1"/>
  <c r="S922" i="1"/>
  <c r="R922" i="1"/>
  <c r="Q922" i="1"/>
  <c r="P922" i="1"/>
  <c r="O922" i="1"/>
  <c r="V921" i="1"/>
  <c r="U921" i="1"/>
  <c r="T921" i="1"/>
  <c r="S921" i="1"/>
  <c r="R921" i="1"/>
  <c r="Q921" i="1"/>
  <c r="P921" i="1"/>
  <c r="O921" i="1"/>
  <c r="V920" i="1"/>
  <c r="U920" i="1"/>
  <c r="T920" i="1"/>
  <c r="S920" i="1"/>
  <c r="R920" i="1"/>
  <c r="Q920" i="1"/>
  <c r="P920" i="1"/>
  <c r="O920" i="1"/>
  <c r="V919" i="1"/>
  <c r="U919" i="1"/>
  <c r="T919" i="1"/>
  <c r="S919" i="1"/>
  <c r="R919" i="1"/>
  <c r="Q919" i="1"/>
  <c r="P919" i="1"/>
  <c r="O919" i="1"/>
  <c r="V918" i="1"/>
  <c r="U918" i="1"/>
  <c r="T918" i="1"/>
  <c r="S918" i="1"/>
  <c r="R918" i="1"/>
  <c r="Q918" i="1"/>
  <c r="P918" i="1"/>
  <c r="O918" i="1"/>
  <c r="V917" i="1"/>
  <c r="U917" i="1"/>
  <c r="T917" i="1"/>
  <c r="S917" i="1"/>
  <c r="R917" i="1"/>
  <c r="Q917" i="1"/>
  <c r="P917" i="1"/>
  <c r="O917" i="1"/>
  <c r="V916" i="1"/>
  <c r="U916" i="1"/>
  <c r="T916" i="1"/>
  <c r="S916" i="1"/>
  <c r="R916" i="1"/>
  <c r="Q916" i="1"/>
  <c r="P916" i="1"/>
  <c r="O916" i="1"/>
  <c r="V915" i="1"/>
  <c r="U915" i="1"/>
  <c r="T915" i="1"/>
  <c r="S915" i="1"/>
  <c r="R915" i="1"/>
  <c r="Q915" i="1"/>
  <c r="P915" i="1"/>
  <c r="O915" i="1"/>
  <c r="V914" i="1"/>
  <c r="U914" i="1"/>
  <c r="T914" i="1"/>
  <c r="S914" i="1"/>
  <c r="R914" i="1"/>
  <c r="Q914" i="1"/>
  <c r="P914" i="1"/>
  <c r="O914" i="1"/>
  <c r="V913" i="1"/>
  <c r="U913" i="1"/>
  <c r="T913" i="1"/>
  <c r="S913" i="1"/>
  <c r="R913" i="1"/>
  <c r="Q913" i="1"/>
  <c r="P913" i="1"/>
  <c r="O913" i="1"/>
  <c r="V912" i="1"/>
  <c r="U912" i="1"/>
  <c r="T912" i="1"/>
  <c r="S912" i="1"/>
  <c r="R912" i="1"/>
  <c r="Q912" i="1"/>
  <c r="P912" i="1"/>
  <c r="O912" i="1"/>
  <c r="V911" i="1"/>
  <c r="U911" i="1"/>
  <c r="T911" i="1"/>
  <c r="S911" i="1"/>
  <c r="R911" i="1"/>
  <c r="Q911" i="1"/>
  <c r="P911" i="1"/>
  <c r="O911" i="1"/>
  <c r="V910" i="1"/>
  <c r="U910" i="1"/>
  <c r="T910" i="1"/>
  <c r="S910" i="1"/>
  <c r="R910" i="1"/>
  <c r="Q910" i="1"/>
  <c r="P910" i="1"/>
  <c r="O910" i="1"/>
  <c r="V909" i="1"/>
  <c r="U909" i="1"/>
  <c r="T909" i="1"/>
  <c r="S909" i="1"/>
  <c r="R909" i="1"/>
  <c r="Q909" i="1"/>
  <c r="P909" i="1"/>
  <c r="O909" i="1"/>
  <c r="V908" i="1"/>
  <c r="U908" i="1"/>
  <c r="T908" i="1"/>
  <c r="S908" i="1"/>
  <c r="R908" i="1"/>
  <c r="Q908" i="1"/>
  <c r="P908" i="1"/>
  <c r="O908" i="1"/>
  <c r="V907" i="1"/>
  <c r="U907" i="1"/>
  <c r="T907" i="1"/>
  <c r="S907" i="1"/>
  <c r="R907" i="1"/>
  <c r="Q907" i="1"/>
  <c r="P907" i="1"/>
  <c r="O907" i="1"/>
  <c r="V906" i="1"/>
  <c r="U906" i="1"/>
  <c r="T906" i="1"/>
  <c r="S906" i="1"/>
  <c r="R906" i="1"/>
  <c r="Q906" i="1"/>
  <c r="P906" i="1"/>
  <c r="O906" i="1"/>
  <c r="V905" i="1"/>
  <c r="U905" i="1"/>
  <c r="T905" i="1"/>
  <c r="S905" i="1"/>
  <c r="R905" i="1"/>
  <c r="Q905" i="1"/>
  <c r="P905" i="1"/>
  <c r="O905" i="1"/>
  <c r="V904" i="1"/>
  <c r="U904" i="1"/>
  <c r="T904" i="1"/>
  <c r="S904" i="1"/>
  <c r="R904" i="1"/>
  <c r="Q904" i="1"/>
  <c r="P904" i="1"/>
  <c r="O904" i="1"/>
  <c r="V903" i="1"/>
  <c r="U903" i="1"/>
  <c r="T903" i="1"/>
  <c r="S903" i="1"/>
  <c r="R903" i="1"/>
  <c r="Q903" i="1"/>
  <c r="P903" i="1"/>
  <c r="O903" i="1"/>
  <c r="V902" i="1"/>
  <c r="U902" i="1"/>
  <c r="T902" i="1"/>
  <c r="S902" i="1"/>
  <c r="R902" i="1"/>
  <c r="Q902" i="1"/>
  <c r="P902" i="1"/>
  <c r="O902" i="1"/>
  <c r="V901" i="1"/>
  <c r="U901" i="1"/>
  <c r="T901" i="1"/>
  <c r="S901" i="1"/>
  <c r="R901" i="1"/>
  <c r="Q901" i="1"/>
  <c r="P901" i="1"/>
  <c r="O901" i="1"/>
  <c r="V900" i="1"/>
  <c r="U900" i="1"/>
  <c r="T900" i="1"/>
  <c r="S900" i="1"/>
  <c r="R900" i="1"/>
  <c r="Q900" i="1"/>
  <c r="P900" i="1"/>
  <c r="O900" i="1"/>
  <c r="V899" i="1"/>
  <c r="U899" i="1"/>
  <c r="T899" i="1"/>
  <c r="S899" i="1"/>
  <c r="R899" i="1"/>
  <c r="Q899" i="1"/>
  <c r="P899" i="1"/>
  <c r="O899" i="1"/>
  <c r="V898" i="1"/>
  <c r="U898" i="1"/>
  <c r="T898" i="1"/>
  <c r="S898" i="1"/>
  <c r="R898" i="1"/>
  <c r="Q898" i="1"/>
  <c r="P898" i="1"/>
  <c r="O898" i="1"/>
  <c r="V897" i="1"/>
  <c r="U897" i="1"/>
  <c r="T897" i="1"/>
  <c r="S897" i="1"/>
  <c r="R897" i="1"/>
  <c r="Q897" i="1"/>
  <c r="P897" i="1"/>
  <c r="O897" i="1"/>
  <c r="V896" i="1"/>
  <c r="U896" i="1"/>
  <c r="T896" i="1"/>
  <c r="S896" i="1"/>
  <c r="R896" i="1"/>
  <c r="Q896" i="1"/>
  <c r="P896" i="1"/>
  <c r="O896" i="1"/>
  <c r="V895" i="1"/>
  <c r="U895" i="1"/>
  <c r="T895" i="1"/>
  <c r="S895" i="1"/>
  <c r="R895" i="1"/>
  <c r="Q895" i="1"/>
  <c r="P895" i="1"/>
  <c r="O895" i="1"/>
  <c r="V894" i="1"/>
  <c r="U894" i="1"/>
  <c r="T894" i="1"/>
  <c r="S894" i="1"/>
  <c r="R894" i="1"/>
  <c r="Q894" i="1"/>
  <c r="P894" i="1"/>
  <c r="O894" i="1"/>
  <c r="V893" i="1"/>
  <c r="U893" i="1"/>
  <c r="T893" i="1"/>
  <c r="S893" i="1"/>
  <c r="R893" i="1"/>
  <c r="Q893" i="1"/>
  <c r="P893" i="1"/>
  <c r="O893" i="1"/>
  <c r="V892" i="1"/>
  <c r="U892" i="1"/>
  <c r="T892" i="1"/>
  <c r="S892" i="1"/>
  <c r="R892" i="1"/>
  <c r="Q892" i="1"/>
  <c r="P892" i="1"/>
  <c r="O892" i="1"/>
  <c r="V891" i="1"/>
  <c r="U891" i="1"/>
  <c r="T891" i="1"/>
  <c r="S891" i="1"/>
  <c r="R891" i="1"/>
  <c r="Q891" i="1"/>
  <c r="P891" i="1"/>
  <c r="O891" i="1"/>
  <c r="V890" i="1"/>
  <c r="U890" i="1"/>
  <c r="T890" i="1"/>
  <c r="S890" i="1"/>
  <c r="R890" i="1"/>
  <c r="Q890" i="1"/>
  <c r="P890" i="1"/>
  <c r="O890" i="1"/>
  <c r="V889" i="1"/>
  <c r="U889" i="1"/>
  <c r="T889" i="1"/>
  <c r="S889" i="1"/>
  <c r="R889" i="1"/>
  <c r="Q889" i="1"/>
  <c r="P889" i="1"/>
  <c r="O889" i="1"/>
  <c r="V888" i="1"/>
  <c r="U888" i="1"/>
  <c r="T888" i="1"/>
  <c r="S888" i="1"/>
  <c r="R888" i="1"/>
  <c r="Q888" i="1"/>
  <c r="P888" i="1"/>
  <c r="O888" i="1"/>
  <c r="V887" i="1"/>
  <c r="U887" i="1"/>
  <c r="T887" i="1"/>
  <c r="S887" i="1"/>
  <c r="R887" i="1"/>
  <c r="Q887" i="1"/>
  <c r="P887" i="1"/>
  <c r="O887" i="1"/>
  <c r="V886" i="1"/>
  <c r="U886" i="1"/>
  <c r="T886" i="1"/>
  <c r="S886" i="1"/>
  <c r="R886" i="1"/>
  <c r="Q886" i="1"/>
  <c r="P886" i="1"/>
  <c r="O886" i="1"/>
  <c r="V885" i="1"/>
  <c r="U885" i="1"/>
  <c r="T885" i="1"/>
  <c r="S885" i="1"/>
  <c r="R885" i="1"/>
  <c r="Q885" i="1"/>
  <c r="P885" i="1"/>
  <c r="O885" i="1"/>
  <c r="V884" i="1"/>
  <c r="U884" i="1"/>
  <c r="T884" i="1"/>
  <c r="S884" i="1"/>
  <c r="R884" i="1"/>
  <c r="Q884" i="1"/>
  <c r="P884" i="1"/>
  <c r="O884" i="1"/>
  <c r="V883" i="1"/>
  <c r="U883" i="1"/>
  <c r="T883" i="1"/>
  <c r="S883" i="1"/>
  <c r="R883" i="1"/>
  <c r="Q883" i="1"/>
  <c r="P883" i="1"/>
  <c r="O883" i="1"/>
  <c r="V882" i="1"/>
  <c r="U882" i="1"/>
  <c r="T882" i="1"/>
  <c r="S882" i="1"/>
  <c r="R882" i="1"/>
  <c r="Q882" i="1"/>
  <c r="P882" i="1"/>
  <c r="O882" i="1"/>
  <c r="V881" i="1"/>
  <c r="U881" i="1"/>
  <c r="T881" i="1"/>
  <c r="S881" i="1"/>
  <c r="R881" i="1"/>
  <c r="Q881" i="1"/>
  <c r="P881" i="1"/>
  <c r="O881" i="1"/>
  <c r="V880" i="1"/>
  <c r="U880" i="1"/>
  <c r="T880" i="1"/>
  <c r="S880" i="1"/>
  <c r="R880" i="1"/>
  <c r="Q880" i="1"/>
  <c r="P880" i="1"/>
  <c r="O880" i="1"/>
  <c r="V879" i="1"/>
  <c r="U879" i="1"/>
  <c r="T879" i="1"/>
  <c r="S879" i="1"/>
  <c r="R879" i="1"/>
  <c r="Q879" i="1"/>
  <c r="P879" i="1"/>
  <c r="O879" i="1"/>
  <c r="V878" i="1"/>
  <c r="U878" i="1"/>
  <c r="T878" i="1"/>
  <c r="S878" i="1"/>
  <c r="R878" i="1"/>
  <c r="Q878" i="1"/>
  <c r="P878" i="1"/>
  <c r="O878" i="1"/>
  <c r="V877" i="1"/>
  <c r="U877" i="1"/>
  <c r="T877" i="1"/>
  <c r="S877" i="1"/>
  <c r="R877" i="1"/>
  <c r="Q877" i="1"/>
  <c r="P877" i="1"/>
  <c r="O877" i="1"/>
  <c r="V876" i="1"/>
  <c r="U876" i="1"/>
  <c r="T876" i="1"/>
  <c r="S876" i="1"/>
  <c r="R876" i="1"/>
  <c r="Q876" i="1"/>
  <c r="P876" i="1"/>
  <c r="O876" i="1"/>
  <c r="V875" i="1"/>
  <c r="U875" i="1"/>
  <c r="T875" i="1"/>
  <c r="S875" i="1"/>
  <c r="R875" i="1"/>
  <c r="Q875" i="1"/>
  <c r="P875" i="1"/>
  <c r="O875" i="1"/>
  <c r="V874" i="1"/>
  <c r="U874" i="1"/>
  <c r="T874" i="1"/>
  <c r="S874" i="1"/>
  <c r="R874" i="1"/>
  <c r="Q874" i="1"/>
  <c r="P874" i="1"/>
  <c r="O874" i="1"/>
  <c r="V873" i="1"/>
  <c r="U873" i="1"/>
  <c r="T873" i="1"/>
  <c r="S873" i="1"/>
  <c r="R873" i="1"/>
  <c r="Q873" i="1"/>
  <c r="P873" i="1"/>
  <c r="O873" i="1"/>
  <c r="V872" i="1"/>
  <c r="U872" i="1"/>
  <c r="T872" i="1"/>
  <c r="S872" i="1"/>
  <c r="R872" i="1"/>
  <c r="Q872" i="1"/>
  <c r="P872" i="1"/>
  <c r="O872" i="1"/>
  <c r="V871" i="1"/>
  <c r="U871" i="1"/>
  <c r="T871" i="1"/>
  <c r="S871" i="1"/>
  <c r="R871" i="1"/>
  <c r="Q871" i="1"/>
  <c r="P871" i="1"/>
  <c r="O871" i="1"/>
  <c r="V870" i="1"/>
  <c r="U870" i="1"/>
  <c r="T870" i="1"/>
  <c r="S870" i="1"/>
  <c r="R870" i="1"/>
  <c r="Q870" i="1"/>
  <c r="P870" i="1"/>
  <c r="O870" i="1"/>
  <c r="V869" i="1"/>
  <c r="U869" i="1"/>
  <c r="T869" i="1"/>
  <c r="S869" i="1"/>
  <c r="R869" i="1"/>
  <c r="Q869" i="1"/>
  <c r="P869" i="1"/>
  <c r="O869" i="1"/>
  <c r="V868" i="1"/>
  <c r="U868" i="1"/>
  <c r="T868" i="1"/>
  <c r="S868" i="1"/>
  <c r="R868" i="1"/>
  <c r="Q868" i="1"/>
  <c r="P868" i="1"/>
  <c r="O868" i="1"/>
  <c r="V867" i="1"/>
  <c r="U867" i="1"/>
  <c r="T867" i="1"/>
  <c r="S867" i="1"/>
  <c r="R867" i="1"/>
  <c r="Q867" i="1"/>
  <c r="P867" i="1"/>
  <c r="O867" i="1"/>
  <c r="V866" i="1"/>
  <c r="U866" i="1"/>
  <c r="T866" i="1"/>
  <c r="S866" i="1"/>
  <c r="R866" i="1"/>
  <c r="Q866" i="1"/>
  <c r="P866" i="1"/>
  <c r="O866" i="1"/>
  <c r="V865" i="1"/>
  <c r="U865" i="1"/>
  <c r="T865" i="1"/>
  <c r="S865" i="1"/>
  <c r="R865" i="1"/>
  <c r="Q865" i="1"/>
  <c r="P865" i="1"/>
  <c r="O865" i="1"/>
  <c r="V864" i="1"/>
  <c r="U864" i="1"/>
  <c r="T864" i="1"/>
  <c r="S864" i="1"/>
  <c r="R864" i="1"/>
  <c r="Q864" i="1"/>
  <c r="P864" i="1"/>
  <c r="O864" i="1"/>
  <c r="V863" i="1"/>
  <c r="U863" i="1"/>
  <c r="T863" i="1"/>
  <c r="S863" i="1"/>
  <c r="R863" i="1"/>
  <c r="Q863" i="1"/>
  <c r="P863" i="1"/>
  <c r="O863" i="1"/>
  <c r="V862" i="1"/>
  <c r="U862" i="1"/>
  <c r="T862" i="1"/>
  <c r="S862" i="1"/>
  <c r="R862" i="1"/>
  <c r="Q862" i="1"/>
  <c r="P862" i="1"/>
  <c r="O862" i="1"/>
  <c r="V861" i="1"/>
  <c r="U861" i="1"/>
  <c r="T861" i="1"/>
  <c r="S861" i="1"/>
  <c r="R861" i="1"/>
  <c r="Q861" i="1"/>
  <c r="P861" i="1"/>
  <c r="O861" i="1"/>
  <c r="V860" i="1"/>
  <c r="U860" i="1"/>
  <c r="T860" i="1"/>
  <c r="S860" i="1"/>
  <c r="R860" i="1"/>
  <c r="Q860" i="1"/>
  <c r="P860" i="1"/>
  <c r="O860" i="1"/>
  <c r="V859" i="1"/>
  <c r="U859" i="1"/>
  <c r="T859" i="1"/>
  <c r="S859" i="1"/>
  <c r="R859" i="1"/>
  <c r="Q859" i="1"/>
  <c r="P859" i="1"/>
  <c r="O859" i="1"/>
  <c r="V858" i="1"/>
  <c r="U858" i="1"/>
  <c r="T858" i="1"/>
  <c r="S858" i="1"/>
  <c r="R858" i="1"/>
  <c r="Q858" i="1"/>
  <c r="P858" i="1"/>
  <c r="O858" i="1"/>
  <c r="V857" i="1"/>
  <c r="U857" i="1"/>
  <c r="T857" i="1"/>
  <c r="S857" i="1"/>
  <c r="R857" i="1"/>
  <c r="Q857" i="1"/>
  <c r="P857" i="1"/>
  <c r="O857" i="1"/>
  <c r="V856" i="1"/>
  <c r="U856" i="1"/>
  <c r="T856" i="1"/>
  <c r="S856" i="1"/>
  <c r="R856" i="1"/>
  <c r="Q856" i="1"/>
  <c r="P856" i="1"/>
  <c r="O856" i="1"/>
  <c r="V855" i="1"/>
  <c r="U855" i="1"/>
  <c r="T855" i="1"/>
  <c r="S855" i="1"/>
  <c r="R855" i="1"/>
  <c r="Q855" i="1"/>
  <c r="P855" i="1"/>
  <c r="O855" i="1"/>
  <c r="V854" i="1"/>
  <c r="U854" i="1"/>
  <c r="T854" i="1"/>
  <c r="S854" i="1"/>
  <c r="R854" i="1"/>
  <c r="Q854" i="1"/>
  <c r="P854" i="1"/>
  <c r="O854" i="1"/>
  <c r="V853" i="1"/>
  <c r="U853" i="1"/>
  <c r="T853" i="1"/>
  <c r="S853" i="1"/>
  <c r="R853" i="1"/>
  <c r="Q853" i="1"/>
  <c r="P853" i="1"/>
  <c r="O853" i="1"/>
  <c r="V852" i="1"/>
  <c r="U852" i="1"/>
  <c r="T852" i="1"/>
  <c r="S852" i="1"/>
  <c r="R852" i="1"/>
  <c r="Q852" i="1"/>
  <c r="P852" i="1"/>
  <c r="O852" i="1"/>
  <c r="V851" i="1"/>
  <c r="U851" i="1"/>
  <c r="T851" i="1"/>
  <c r="S851" i="1"/>
  <c r="R851" i="1"/>
  <c r="Q851" i="1"/>
  <c r="P851" i="1"/>
  <c r="O851" i="1"/>
  <c r="V850" i="1"/>
  <c r="U850" i="1"/>
  <c r="T850" i="1"/>
  <c r="S850" i="1"/>
  <c r="R850" i="1"/>
  <c r="Q850" i="1"/>
  <c r="P850" i="1"/>
  <c r="O850" i="1"/>
  <c r="V849" i="1"/>
  <c r="U849" i="1"/>
  <c r="T849" i="1"/>
  <c r="S849" i="1"/>
  <c r="R849" i="1"/>
  <c r="Q849" i="1"/>
  <c r="P849" i="1"/>
  <c r="O849" i="1"/>
  <c r="V848" i="1"/>
  <c r="U848" i="1"/>
  <c r="T848" i="1"/>
  <c r="S848" i="1"/>
  <c r="R848" i="1"/>
  <c r="Q848" i="1"/>
  <c r="P848" i="1"/>
  <c r="O848" i="1"/>
  <c r="V847" i="1"/>
  <c r="U847" i="1"/>
  <c r="T847" i="1"/>
  <c r="S847" i="1"/>
  <c r="R847" i="1"/>
  <c r="Q847" i="1"/>
  <c r="P847" i="1"/>
  <c r="O847" i="1"/>
  <c r="V846" i="1"/>
  <c r="U846" i="1"/>
  <c r="T846" i="1"/>
  <c r="S846" i="1"/>
  <c r="R846" i="1"/>
  <c r="Q846" i="1"/>
  <c r="P846" i="1"/>
  <c r="O846" i="1"/>
  <c r="V845" i="1"/>
  <c r="U845" i="1"/>
  <c r="T845" i="1"/>
  <c r="S845" i="1"/>
  <c r="R845" i="1"/>
  <c r="Q845" i="1"/>
  <c r="P845" i="1"/>
  <c r="O845" i="1"/>
  <c r="V844" i="1"/>
  <c r="U844" i="1"/>
  <c r="T844" i="1"/>
  <c r="S844" i="1"/>
  <c r="R844" i="1"/>
  <c r="Q844" i="1"/>
  <c r="P844" i="1"/>
  <c r="O844" i="1"/>
  <c r="V843" i="1"/>
  <c r="U843" i="1"/>
  <c r="T843" i="1"/>
  <c r="S843" i="1"/>
  <c r="R843" i="1"/>
  <c r="Q843" i="1"/>
  <c r="P843" i="1"/>
  <c r="O843" i="1"/>
  <c r="V842" i="1"/>
  <c r="U842" i="1"/>
  <c r="T842" i="1"/>
  <c r="S842" i="1"/>
  <c r="R842" i="1"/>
  <c r="Q842" i="1"/>
  <c r="P842" i="1"/>
  <c r="O842" i="1"/>
  <c r="V841" i="1"/>
  <c r="U841" i="1"/>
  <c r="T841" i="1"/>
  <c r="S841" i="1"/>
  <c r="R841" i="1"/>
  <c r="Q841" i="1"/>
  <c r="P841" i="1"/>
  <c r="O841" i="1"/>
  <c r="V840" i="1"/>
  <c r="U840" i="1"/>
  <c r="T840" i="1"/>
  <c r="S840" i="1"/>
  <c r="R840" i="1"/>
  <c r="Q840" i="1"/>
  <c r="P840" i="1"/>
  <c r="O840" i="1"/>
  <c r="V839" i="1"/>
  <c r="U839" i="1"/>
  <c r="T839" i="1"/>
  <c r="S839" i="1"/>
  <c r="R839" i="1"/>
  <c r="Q839" i="1"/>
  <c r="P839" i="1"/>
  <c r="O839" i="1"/>
  <c r="V838" i="1"/>
  <c r="U838" i="1"/>
  <c r="T838" i="1"/>
  <c r="S838" i="1"/>
  <c r="R838" i="1"/>
  <c r="Q838" i="1"/>
  <c r="P838" i="1"/>
  <c r="O838" i="1"/>
  <c r="V837" i="1"/>
  <c r="U837" i="1"/>
  <c r="T837" i="1"/>
  <c r="S837" i="1"/>
  <c r="R837" i="1"/>
  <c r="Q837" i="1"/>
  <c r="P837" i="1"/>
  <c r="O837" i="1"/>
  <c r="V836" i="1"/>
  <c r="U836" i="1"/>
  <c r="T836" i="1"/>
  <c r="S836" i="1"/>
  <c r="R836" i="1"/>
  <c r="Q836" i="1"/>
  <c r="P836" i="1"/>
  <c r="O836" i="1"/>
  <c r="V835" i="1"/>
  <c r="U835" i="1"/>
  <c r="T835" i="1"/>
  <c r="S835" i="1"/>
  <c r="R835" i="1"/>
  <c r="Q835" i="1"/>
  <c r="P835" i="1"/>
  <c r="O835" i="1"/>
  <c r="V834" i="1"/>
  <c r="U834" i="1"/>
  <c r="T834" i="1"/>
  <c r="S834" i="1"/>
  <c r="R834" i="1"/>
  <c r="Q834" i="1"/>
  <c r="P834" i="1"/>
  <c r="O834" i="1"/>
  <c r="V833" i="1"/>
  <c r="U833" i="1"/>
  <c r="T833" i="1"/>
  <c r="S833" i="1"/>
  <c r="R833" i="1"/>
  <c r="Q833" i="1"/>
  <c r="P833" i="1"/>
  <c r="O833" i="1"/>
  <c r="V832" i="1"/>
  <c r="U832" i="1"/>
  <c r="T832" i="1"/>
  <c r="S832" i="1"/>
  <c r="R832" i="1"/>
  <c r="Q832" i="1"/>
  <c r="P832" i="1"/>
  <c r="O832" i="1"/>
  <c r="V831" i="1"/>
  <c r="U831" i="1"/>
  <c r="T831" i="1"/>
  <c r="S831" i="1"/>
  <c r="R831" i="1"/>
  <c r="Q831" i="1"/>
  <c r="P831" i="1"/>
  <c r="O831" i="1"/>
  <c r="V830" i="1"/>
  <c r="U830" i="1"/>
  <c r="T830" i="1"/>
  <c r="S830" i="1"/>
  <c r="R830" i="1"/>
  <c r="Q830" i="1"/>
  <c r="P830" i="1"/>
  <c r="O830" i="1"/>
  <c r="V829" i="1"/>
  <c r="U829" i="1"/>
  <c r="T829" i="1"/>
  <c r="S829" i="1"/>
  <c r="R829" i="1"/>
  <c r="Q829" i="1"/>
  <c r="P829" i="1"/>
  <c r="O829" i="1"/>
  <c r="V828" i="1"/>
  <c r="U828" i="1"/>
  <c r="T828" i="1"/>
  <c r="S828" i="1"/>
  <c r="R828" i="1"/>
  <c r="Q828" i="1"/>
  <c r="P828" i="1"/>
  <c r="O828" i="1"/>
  <c r="V827" i="1"/>
  <c r="U827" i="1"/>
  <c r="T827" i="1"/>
  <c r="S827" i="1"/>
  <c r="R827" i="1"/>
  <c r="Q827" i="1"/>
  <c r="P827" i="1"/>
  <c r="O827" i="1"/>
  <c r="V826" i="1"/>
  <c r="U826" i="1"/>
  <c r="T826" i="1"/>
  <c r="S826" i="1"/>
  <c r="R826" i="1"/>
  <c r="Q826" i="1"/>
  <c r="P826" i="1"/>
  <c r="O826" i="1"/>
  <c r="V825" i="1"/>
  <c r="U825" i="1"/>
  <c r="T825" i="1"/>
  <c r="S825" i="1"/>
  <c r="R825" i="1"/>
  <c r="Q825" i="1"/>
  <c r="P825" i="1"/>
  <c r="O825" i="1"/>
  <c r="V824" i="1"/>
  <c r="U824" i="1"/>
  <c r="T824" i="1"/>
  <c r="S824" i="1"/>
  <c r="R824" i="1"/>
  <c r="Q824" i="1"/>
  <c r="P824" i="1"/>
  <c r="O824" i="1"/>
  <c r="V823" i="1"/>
  <c r="U823" i="1"/>
  <c r="T823" i="1"/>
  <c r="S823" i="1"/>
  <c r="R823" i="1"/>
  <c r="Q823" i="1"/>
  <c r="P823" i="1"/>
  <c r="O823" i="1"/>
  <c r="V822" i="1"/>
  <c r="U822" i="1"/>
  <c r="T822" i="1"/>
  <c r="S822" i="1"/>
  <c r="R822" i="1"/>
  <c r="Q822" i="1"/>
  <c r="P822" i="1"/>
  <c r="O822" i="1"/>
  <c r="V821" i="1"/>
  <c r="U821" i="1"/>
  <c r="T821" i="1"/>
  <c r="S821" i="1"/>
  <c r="R821" i="1"/>
  <c r="Q821" i="1"/>
  <c r="P821" i="1"/>
  <c r="O821" i="1"/>
  <c r="V820" i="1"/>
  <c r="U820" i="1"/>
  <c r="T820" i="1"/>
  <c r="S820" i="1"/>
  <c r="R820" i="1"/>
  <c r="Q820" i="1"/>
  <c r="P820" i="1"/>
  <c r="O820" i="1"/>
  <c r="V819" i="1"/>
  <c r="U819" i="1"/>
  <c r="T819" i="1"/>
  <c r="S819" i="1"/>
  <c r="R819" i="1"/>
  <c r="Q819" i="1"/>
  <c r="P819" i="1"/>
  <c r="O819" i="1"/>
  <c r="V818" i="1"/>
  <c r="U818" i="1"/>
  <c r="T818" i="1"/>
  <c r="S818" i="1"/>
  <c r="R818" i="1"/>
  <c r="Q818" i="1"/>
  <c r="P818" i="1"/>
  <c r="O818" i="1"/>
  <c r="V817" i="1"/>
  <c r="U817" i="1"/>
  <c r="T817" i="1"/>
  <c r="S817" i="1"/>
  <c r="R817" i="1"/>
  <c r="Q817" i="1"/>
  <c r="P817" i="1"/>
  <c r="O817" i="1"/>
  <c r="V816" i="1"/>
  <c r="U816" i="1"/>
  <c r="T816" i="1"/>
  <c r="S816" i="1"/>
  <c r="R816" i="1"/>
  <c r="Q816" i="1"/>
  <c r="P816" i="1"/>
  <c r="O816" i="1"/>
  <c r="V815" i="1"/>
  <c r="U815" i="1"/>
  <c r="T815" i="1"/>
  <c r="S815" i="1"/>
  <c r="R815" i="1"/>
  <c r="Q815" i="1"/>
  <c r="P815" i="1"/>
  <c r="O815" i="1"/>
  <c r="V814" i="1"/>
  <c r="U814" i="1"/>
  <c r="T814" i="1"/>
  <c r="S814" i="1"/>
  <c r="R814" i="1"/>
  <c r="Q814" i="1"/>
  <c r="P814" i="1"/>
  <c r="O814" i="1"/>
  <c r="V813" i="1"/>
  <c r="U813" i="1"/>
  <c r="T813" i="1"/>
  <c r="S813" i="1"/>
  <c r="R813" i="1"/>
  <c r="Q813" i="1"/>
  <c r="P813" i="1"/>
  <c r="O813" i="1"/>
  <c r="V812" i="1"/>
  <c r="U812" i="1"/>
  <c r="T812" i="1"/>
  <c r="S812" i="1"/>
  <c r="R812" i="1"/>
  <c r="Q812" i="1"/>
  <c r="P812" i="1"/>
  <c r="O812" i="1"/>
  <c r="V811" i="1"/>
  <c r="U811" i="1"/>
  <c r="T811" i="1"/>
  <c r="S811" i="1"/>
  <c r="R811" i="1"/>
  <c r="Q811" i="1"/>
  <c r="P811" i="1"/>
  <c r="O811" i="1"/>
  <c r="V810" i="1"/>
  <c r="U810" i="1"/>
  <c r="T810" i="1"/>
  <c r="S810" i="1"/>
  <c r="R810" i="1"/>
  <c r="Q810" i="1"/>
  <c r="P810" i="1"/>
  <c r="O810" i="1"/>
  <c r="V809" i="1"/>
  <c r="U809" i="1"/>
  <c r="T809" i="1"/>
  <c r="S809" i="1"/>
  <c r="R809" i="1"/>
  <c r="Q809" i="1"/>
  <c r="P809" i="1"/>
  <c r="O809" i="1"/>
  <c r="V808" i="1"/>
  <c r="U808" i="1"/>
  <c r="T808" i="1"/>
  <c r="S808" i="1"/>
  <c r="R808" i="1"/>
  <c r="Q808" i="1"/>
  <c r="P808" i="1"/>
  <c r="O808" i="1"/>
  <c r="V807" i="1"/>
  <c r="U807" i="1"/>
  <c r="T807" i="1"/>
  <c r="S807" i="1"/>
  <c r="R807" i="1"/>
  <c r="Q807" i="1"/>
  <c r="P807" i="1"/>
  <c r="O807" i="1"/>
  <c r="V806" i="1"/>
  <c r="U806" i="1"/>
  <c r="T806" i="1"/>
  <c r="S806" i="1"/>
  <c r="R806" i="1"/>
  <c r="Q806" i="1"/>
  <c r="P806" i="1"/>
  <c r="O806" i="1"/>
  <c r="V805" i="1"/>
  <c r="U805" i="1"/>
  <c r="T805" i="1"/>
  <c r="S805" i="1"/>
  <c r="R805" i="1"/>
  <c r="Q805" i="1"/>
  <c r="P805" i="1"/>
  <c r="O805" i="1"/>
  <c r="V804" i="1"/>
  <c r="U804" i="1"/>
  <c r="T804" i="1"/>
  <c r="S804" i="1"/>
  <c r="R804" i="1"/>
  <c r="Q804" i="1"/>
  <c r="P804" i="1"/>
  <c r="O804" i="1"/>
  <c r="V803" i="1"/>
  <c r="U803" i="1"/>
  <c r="T803" i="1"/>
  <c r="S803" i="1"/>
  <c r="R803" i="1"/>
  <c r="Q803" i="1"/>
  <c r="P803" i="1"/>
  <c r="O803" i="1"/>
  <c r="V802" i="1"/>
  <c r="U802" i="1"/>
  <c r="T802" i="1"/>
  <c r="S802" i="1"/>
  <c r="R802" i="1"/>
  <c r="Q802" i="1"/>
  <c r="P802" i="1"/>
  <c r="O802" i="1"/>
  <c r="V801" i="1"/>
  <c r="U801" i="1"/>
  <c r="T801" i="1"/>
  <c r="S801" i="1"/>
  <c r="R801" i="1"/>
  <c r="Q801" i="1"/>
  <c r="P801" i="1"/>
  <c r="O801" i="1"/>
  <c r="V800" i="1"/>
  <c r="U800" i="1"/>
  <c r="T800" i="1"/>
  <c r="S800" i="1"/>
  <c r="R800" i="1"/>
  <c r="Q800" i="1"/>
  <c r="P800" i="1"/>
  <c r="O800" i="1"/>
  <c r="V799" i="1"/>
  <c r="U799" i="1"/>
  <c r="T799" i="1"/>
  <c r="S799" i="1"/>
  <c r="R799" i="1"/>
  <c r="Q799" i="1"/>
  <c r="P799" i="1"/>
  <c r="O799" i="1"/>
  <c r="V798" i="1"/>
  <c r="U798" i="1"/>
  <c r="T798" i="1"/>
  <c r="S798" i="1"/>
  <c r="R798" i="1"/>
  <c r="Q798" i="1"/>
  <c r="P798" i="1"/>
  <c r="O798" i="1"/>
  <c r="V797" i="1"/>
  <c r="U797" i="1"/>
  <c r="T797" i="1"/>
  <c r="S797" i="1"/>
  <c r="R797" i="1"/>
  <c r="Q797" i="1"/>
  <c r="P797" i="1"/>
  <c r="O797" i="1"/>
  <c r="V796" i="1"/>
  <c r="U796" i="1"/>
  <c r="T796" i="1"/>
  <c r="S796" i="1"/>
  <c r="R796" i="1"/>
  <c r="Q796" i="1"/>
  <c r="P796" i="1"/>
  <c r="O796" i="1"/>
  <c r="V795" i="1"/>
  <c r="U795" i="1"/>
  <c r="T795" i="1"/>
  <c r="S795" i="1"/>
  <c r="R795" i="1"/>
  <c r="Q795" i="1"/>
  <c r="P795" i="1"/>
  <c r="O795" i="1"/>
  <c r="V794" i="1"/>
  <c r="U794" i="1"/>
  <c r="T794" i="1"/>
  <c r="S794" i="1"/>
  <c r="R794" i="1"/>
  <c r="Q794" i="1"/>
  <c r="P794" i="1"/>
  <c r="O794" i="1"/>
  <c r="V793" i="1"/>
  <c r="U793" i="1"/>
  <c r="T793" i="1"/>
  <c r="S793" i="1"/>
  <c r="R793" i="1"/>
  <c r="Q793" i="1"/>
  <c r="P793" i="1"/>
  <c r="O793" i="1"/>
  <c r="V792" i="1"/>
  <c r="U792" i="1"/>
  <c r="T792" i="1"/>
  <c r="S792" i="1"/>
  <c r="R792" i="1"/>
  <c r="Q792" i="1"/>
  <c r="P792" i="1"/>
  <c r="O792" i="1"/>
  <c r="V791" i="1"/>
  <c r="U791" i="1"/>
  <c r="T791" i="1"/>
  <c r="S791" i="1"/>
  <c r="R791" i="1"/>
  <c r="Q791" i="1"/>
  <c r="P791" i="1"/>
  <c r="O791" i="1"/>
  <c r="V790" i="1"/>
  <c r="U790" i="1"/>
  <c r="T790" i="1"/>
  <c r="S790" i="1"/>
  <c r="R790" i="1"/>
  <c r="Q790" i="1"/>
  <c r="P790" i="1"/>
  <c r="O790" i="1"/>
  <c r="V789" i="1"/>
  <c r="U789" i="1"/>
  <c r="T789" i="1"/>
  <c r="S789" i="1"/>
  <c r="R789" i="1"/>
  <c r="Q789" i="1"/>
  <c r="P789" i="1"/>
  <c r="O789" i="1"/>
  <c r="V788" i="1"/>
  <c r="U788" i="1"/>
  <c r="T788" i="1"/>
  <c r="S788" i="1"/>
  <c r="R788" i="1"/>
  <c r="Q788" i="1"/>
  <c r="P788" i="1"/>
  <c r="O788" i="1"/>
  <c r="V787" i="1"/>
  <c r="U787" i="1"/>
  <c r="T787" i="1"/>
  <c r="S787" i="1"/>
  <c r="R787" i="1"/>
  <c r="Q787" i="1"/>
  <c r="P787" i="1"/>
  <c r="O787" i="1"/>
  <c r="V786" i="1"/>
  <c r="U786" i="1"/>
  <c r="T786" i="1"/>
  <c r="S786" i="1"/>
  <c r="R786" i="1"/>
  <c r="Q786" i="1"/>
  <c r="P786" i="1"/>
  <c r="O786" i="1"/>
  <c r="V785" i="1"/>
  <c r="U785" i="1"/>
  <c r="T785" i="1"/>
  <c r="S785" i="1"/>
  <c r="R785" i="1"/>
  <c r="Q785" i="1"/>
  <c r="P785" i="1"/>
  <c r="O785" i="1"/>
  <c r="V784" i="1"/>
  <c r="U784" i="1"/>
  <c r="T784" i="1"/>
  <c r="S784" i="1"/>
  <c r="R784" i="1"/>
  <c r="Q784" i="1"/>
  <c r="P784" i="1"/>
  <c r="O784" i="1"/>
  <c r="V783" i="1"/>
  <c r="U783" i="1"/>
  <c r="T783" i="1"/>
  <c r="S783" i="1"/>
  <c r="R783" i="1"/>
  <c r="Q783" i="1"/>
  <c r="P783" i="1"/>
  <c r="O783" i="1"/>
  <c r="V782" i="1"/>
  <c r="U782" i="1"/>
  <c r="T782" i="1"/>
  <c r="S782" i="1"/>
  <c r="R782" i="1"/>
  <c r="Q782" i="1"/>
  <c r="P782" i="1"/>
  <c r="O782" i="1"/>
  <c r="V781" i="1"/>
  <c r="U781" i="1"/>
  <c r="T781" i="1"/>
  <c r="S781" i="1"/>
  <c r="R781" i="1"/>
  <c r="Q781" i="1"/>
  <c r="P781" i="1"/>
  <c r="O781" i="1"/>
  <c r="V780" i="1"/>
  <c r="U780" i="1"/>
  <c r="T780" i="1"/>
  <c r="S780" i="1"/>
  <c r="R780" i="1"/>
  <c r="Q780" i="1"/>
  <c r="P780" i="1"/>
  <c r="O780" i="1"/>
  <c r="V779" i="1"/>
  <c r="U779" i="1"/>
  <c r="T779" i="1"/>
  <c r="S779" i="1"/>
  <c r="R779" i="1"/>
  <c r="Q779" i="1"/>
  <c r="P779" i="1"/>
  <c r="O779" i="1"/>
  <c r="V778" i="1"/>
  <c r="U778" i="1"/>
  <c r="T778" i="1"/>
  <c r="S778" i="1"/>
  <c r="R778" i="1"/>
  <c r="Q778" i="1"/>
  <c r="P778" i="1"/>
  <c r="O778" i="1"/>
  <c r="V777" i="1"/>
  <c r="U777" i="1"/>
  <c r="T777" i="1"/>
  <c r="S777" i="1"/>
  <c r="R777" i="1"/>
  <c r="Q777" i="1"/>
  <c r="P777" i="1"/>
  <c r="O777" i="1"/>
  <c r="V776" i="1"/>
  <c r="U776" i="1"/>
  <c r="T776" i="1"/>
  <c r="S776" i="1"/>
  <c r="R776" i="1"/>
  <c r="Q776" i="1"/>
  <c r="P776" i="1"/>
  <c r="O776" i="1"/>
  <c r="V775" i="1"/>
  <c r="U775" i="1"/>
  <c r="T775" i="1"/>
  <c r="S775" i="1"/>
  <c r="R775" i="1"/>
  <c r="Q775" i="1"/>
  <c r="P775" i="1"/>
  <c r="O775" i="1"/>
  <c r="V774" i="1"/>
  <c r="U774" i="1"/>
  <c r="T774" i="1"/>
  <c r="S774" i="1"/>
  <c r="R774" i="1"/>
  <c r="Q774" i="1"/>
  <c r="P774" i="1"/>
  <c r="O774" i="1"/>
  <c r="V773" i="1"/>
  <c r="U773" i="1"/>
  <c r="T773" i="1"/>
  <c r="S773" i="1"/>
  <c r="R773" i="1"/>
  <c r="Q773" i="1"/>
  <c r="P773" i="1"/>
  <c r="O773" i="1"/>
  <c r="V772" i="1"/>
  <c r="U772" i="1"/>
  <c r="T772" i="1"/>
  <c r="S772" i="1"/>
  <c r="R772" i="1"/>
  <c r="Q772" i="1"/>
  <c r="P772" i="1"/>
  <c r="O772" i="1"/>
  <c r="V771" i="1"/>
  <c r="U771" i="1"/>
  <c r="T771" i="1"/>
  <c r="S771" i="1"/>
  <c r="R771" i="1"/>
  <c r="Q771" i="1"/>
  <c r="P771" i="1"/>
  <c r="O771" i="1"/>
  <c r="V770" i="1"/>
  <c r="U770" i="1"/>
  <c r="T770" i="1"/>
  <c r="S770" i="1"/>
  <c r="R770" i="1"/>
  <c r="Q770" i="1"/>
  <c r="P770" i="1"/>
  <c r="O770" i="1"/>
  <c r="V769" i="1"/>
  <c r="U769" i="1"/>
  <c r="T769" i="1"/>
  <c r="S769" i="1"/>
  <c r="R769" i="1"/>
  <c r="Q769" i="1"/>
  <c r="P769" i="1"/>
  <c r="O769" i="1"/>
  <c r="V768" i="1"/>
  <c r="U768" i="1"/>
  <c r="T768" i="1"/>
  <c r="S768" i="1"/>
  <c r="R768" i="1"/>
  <c r="Q768" i="1"/>
  <c r="P768" i="1"/>
  <c r="O768" i="1"/>
  <c r="V767" i="1"/>
  <c r="U767" i="1"/>
  <c r="T767" i="1"/>
  <c r="S767" i="1"/>
  <c r="R767" i="1"/>
  <c r="Q767" i="1"/>
  <c r="P767" i="1"/>
  <c r="O767" i="1"/>
  <c r="V766" i="1"/>
  <c r="U766" i="1"/>
  <c r="T766" i="1"/>
  <c r="S766" i="1"/>
  <c r="R766" i="1"/>
  <c r="Q766" i="1"/>
  <c r="P766" i="1"/>
  <c r="O766" i="1"/>
  <c r="V765" i="1"/>
  <c r="U765" i="1"/>
  <c r="T765" i="1"/>
  <c r="S765" i="1"/>
  <c r="R765" i="1"/>
  <c r="Q765" i="1"/>
  <c r="P765" i="1"/>
  <c r="O765" i="1"/>
  <c r="V764" i="1"/>
  <c r="U764" i="1"/>
  <c r="T764" i="1"/>
  <c r="S764" i="1"/>
  <c r="R764" i="1"/>
  <c r="Q764" i="1"/>
  <c r="P764" i="1"/>
  <c r="O764" i="1"/>
  <c r="V763" i="1"/>
  <c r="U763" i="1"/>
  <c r="T763" i="1"/>
  <c r="S763" i="1"/>
  <c r="R763" i="1"/>
  <c r="Q763" i="1"/>
  <c r="P763" i="1"/>
  <c r="O763" i="1"/>
  <c r="V762" i="1"/>
  <c r="U762" i="1"/>
  <c r="T762" i="1"/>
  <c r="S762" i="1"/>
  <c r="R762" i="1"/>
  <c r="Q762" i="1"/>
  <c r="P762" i="1"/>
  <c r="O762" i="1"/>
  <c r="V761" i="1"/>
  <c r="U761" i="1"/>
  <c r="T761" i="1"/>
  <c r="S761" i="1"/>
  <c r="R761" i="1"/>
  <c r="Q761" i="1"/>
  <c r="P761" i="1"/>
  <c r="O761" i="1"/>
  <c r="V760" i="1"/>
  <c r="U760" i="1"/>
  <c r="T760" i="1"/>
  <c r="S760" i="1"/>
  <c r="R760" i="1"/>
  <c r="Q760" i="1"/>
  <c r="P760" i="1"/>
  <c r="O760" i="1"/>
  <c r="V759" i="1"/>
  <c r="U759" i="1"/>
  <c r="T759" i="1"/>
  <c r="S759" i="1"/>
  <c r="R759" i="1"/>
  <c r="Q759" i="1"/>
  <c r="P759" i="1"/>
  <c r="O759" i="1"/>
  <c r="V758" i="1"/>
  <c r="U758" i="1"/>
  <c r="T758" i="1"/>
  <c r="S758" i="1"/>
  <c r="R758" i="1"/>
  <c r="Q758" i="1"/>
  <c r="P758" i="1"/>
  <c r="O758" i="1"/>
  <c r="V757" i="1"/>
  <c r="U757" i="1"/>
  <c r="T757" i="1"/>
  <c r="S757" i="1"/>
  <c r="R757" i="1"/>
  <c r="Q757" i="1"/>
  <c r="P757" i="1"/>
  <c r="O757" i="1"/>
  <c r="V756" i="1"/>
  <c r="U756" i="1"/>
  <c r="T756" i="1"/>
  <c r="S756" i="1"/>
  <c r="R756" i="1"/>
  <c r="Q756" i="1"/>
  <c r="P756" i="1"/>
  <c r="O756" i="1"/>
  <c r="V755" i="1"/>
  <c r="U755" i="1"/>
  <c r="T755" i="1"/>
  <c r="S755" i="1"/>
  <c r="R755" i="1"/>
  <c r="Q755" i="1"/>
  <c r="P755" i="1"/>
  <c r="O755" i="1"/>
  <c r="V754" i="1"/>
  <c r="U754" i="1"/>
  <c r="T754" i="1"/>
  <c r="S754" i="1"/>
  <c r="R754" i="1"/>
  <c r="Q754" i="1"/>
  <c r="P754" i="1"/>
  <c r="O754" i="1"/>
  <c r="V753" i="1"/>
  <c r="U753" i="1"/>
  <c r="T753" i="1"/>
  <c r="S753" i="1"/>
  <c r="R753" i="1"/>
  <c r="Q753" i="1"/>
  <c r="P753" i="1"/>
  <c r="O753" i="1"/>
  <c r="V752" i="1"/>
  <c r="U752" i="1"/>
  <c r="T752" i="1"/>
  <c r="S752" i="1"/>
  <c r="R752" i="1"/>
  <c r="Q752" i="1"/>
  <c r="P752" i="1"/>
  <c r="O752" i="1"/>
  <c r="V751" i="1"/>
  <c r="U751" i="1"/>
  <c r="T751" i="1"/>
  <c r="S751" i="1"/>
  <c r="R751" i="1"/>
  <c r="Q751" i="1"/>
  <c r="P751" i="1"/>
  <c r="O751" i="1"/>
  <c r="V750" i="1"/>
  <c r="U750" i="1"/>
  <c r="T750" i="1"/>
  <c r="S750" i="1"/>
  <c r="R750" i="1"/>
  <c r="Q750" i="1"/>
  <c r="P750" i="1"/>
  <c r="O750" i="1"/>
  <c r="V749" i="1"/>
  <c r="U749" i="1"/>
  <c r="T749" i="1"/>
  <c r="S749" i="1"/>
  <c r="R749" i="1"/>
  <c r="Q749" i="1"/>
  <c r="P749" i="1"/>
  <c r="O749" i="1"/>
  <c r="V748" i="1"/>
  <c r="U748" i="1"/>
  <c r="T748" i="1"/>
  <c r="S748" i="1"/>
  <c r="R748" i="1"/>
  <c r="Q748" i="1"/>
  <c r="P748" i="1"/>
  <c r="O748" i="1"/>
  <c r="V747" i="1"/>
  <c r="U747" i="1"/>
  <c r="T747" i="1"/>
  <c r="S747" i="1"/>
  <c r="R747" i="1"/>
  <c r="Q747" i="1"/>
  <c r="P747" i="1"/>
  <c r="O747" i="1"/>
  <c r="V746" i="1"/>
  <c r="U746" i="1"/>
  <c r="T746" i="1"/>
  <c r="S746" i="1"/>
  <c r="R746" i="1"/>
  <c r="Q746" i="1"/>
  <c r="P746" i="1"/>
  <c r="O746" i="1"/>
  <c r="V745" i="1"/>
  <c r="U745" i="1"/>
  <c r="T745" i="1"/>
  <c r="S745" i="1"/>
  <c r="R745" i="1"/>
  <c r="Q745" i="1"/>
  <c r="P745" i="1"/>
  <c r="O745" i="1"/>
  <c r="V744" i="1"/>
  <c r="U744" i="1"/>
  <c r="T744" i="1"/>
  <c r="S744" i="1"/>
  <c r="R744" i="1"/>
  <c r="Q744" i="1"/>
  <c r="P744" i="1"/>
  <c r="O744" i="1"/>
  <c r="V743" i="1"/>
  <c r="U743" i="1"/>
  <c r="T743" i="1"/>
  <c r="S743" i="1"/>
  <c r="R743" i="1"/>
  <c r="Q743" i="1"/>
  <c r="P743" i="1"/>
  <c r="O743" i="1"/>
  <c r="V742" i="1"/>
  <c r="U742" i="1"/>
  <c r="T742" i="1"/>
  <c r="S742" i="1"/>
  <c r="R742" i="1"/>
  <c r="Q742" i="1"/>
  <c r="P742" i="1"/>
  <c r="O742" i="1"/>
  <c r="V741" i="1"/>
  <c r="U741" i="1"/>
  <c r="T741" i="1"/>
  <c r="S741" i="1"/>
  <c r="R741" i="1"/>
  <c r="Q741" i="1"/>
  <c r="P741" i="1"/>
  <c r="O741" i="1"/>
  <c r="V740" i="1"/>
  <c r="U740" i="1"/>
  <c r="T740" i="1"/>
  <c r="S740" i="1"/>
  <c r="R740" i="1"/>
  <c r="Q740" i="1"/>
  <c r="P740" i="1"/>
  <c r="O740" i="1"/>
  <c r="V739" i="1"/>
  <c r="U739" i="1"/>
  <c r="T739" i="1"/>
  <c r="S739" i="1"/>
  <c r="R739" i="1"/>
  <c r="Q739" i="1"/>
  <c r="P739" i="1"/>
  <c r="O739" i="1"/>
  <c r="V738" i="1"/>
  <c r="U738" i="1"/>
  <c r="T738" i="1"/>
  <c r="S738" i="1"/>
  <c r="R738" i="1"/>
  <c r="Q738" i="1"/>
  <c r="P738" i="1"/>
  <c r="O738" i="1"/>
  <c r="V737" i="1"/>
  <c r="U737" i="1"/>
  <c r="T737" i="1"/>
  <c r="S737" i="1"/>
  <c r="R737" i="1"/>
  <c r="Q737" i="1"/>
  <c r="P737" i="1"/>
  <c r="O737" i="1"/>
  <c r="V736" i="1"/>
  <c r="U736" i="1"/>
  <c r="T736" i="1"/>
  <c r="S736" i="1"/>
  <c r="R736" i="1"/>
  <c r="Q736" i="1"/>
  <c r="P736" i="1"/>
  <c r="O736" i="1"/>
  <c r="V735" i="1"/>
  <c r="U735" i="1"/>
  <c r="T735" i="1"/>
  <c r="S735" i="1"/>
  <c r="R735" i="1"/>
  <c r="Q735" i="1"/>
  <c r="P735" i="1"/>
  <c r="O735" i="1"/>
  <c r="V734" i="1"/>
  <c r="U734" i="1"/>
  <c r="T734" i="1"/>
  <c r="S734" i="1"/>
  <c r="R734" i="1"/>
  <c r="Q734" i="1"/>
  <c r="P734" i="1"/>
  <c r="O734" i="1"/>
  <c r="V733" i="1"/>
  <c r="U733" i="1"/>
  <c r="T733" i="1"/>
  <c r="S733" i="1"/>
  <c r="R733" i="1"/>
  <c r="Q733" i="1"/>
  <c r="P733" i="1"/>
  <c r="O733" i="1"/>
  <c r="V732" i="1"/>
  <c r="U732" i="1"/>
  <c r="T732" i="1"/>
  <c r="S732" i="1"/>
  <c r="R732" i="1"/>
  <c r="Q732" i="1"/>
  <c r="P732" i="1"/>
  <c r="O732" i="1"/>
  <c r="V731" i="1"/>
  <c r="U731" i="1"/>
  <c r="T731" i="1"/>
  <c r="S731" i="1"/>
  <c r="R731" i="1"/>
  <c r="Q731" i="1"/>
  <c r="P731" i="1"/>
  <c r="O731" i="1"/>
  <c r="V730" i="1"/>
  <c r="U730" i="1"/>
  <c r="T730" i="1"/>
  <c r="S730" i="1"/>
  <c r="R730" i="1"/>
  <c r="Q730" i="1"/>
  <c r="P730" i="1"/>
  <c r="O730" i="1"/>
  <c r="V729" i="1"/>
  <c r="U729" i="1"/>
  <c r="T729" i="1"/>
  <c r="S729" i="1"/>
  <c r="R729" i="1"/>
  <c r="Q729" i="1"/>
  <c r="P729" i="1"/>
  <c r="O729" i="1"/>
  <c r="V728" i="1"/>
  <c r="U728" i="1"/>
  <c r="T728" i="1"/>
  <c r="S728" i="1"/>
  <c r="R728" i="1"/>
  <c r="Q728" i="1"/>
  <c r="P728" i="1"/>
  <c r="O728" i="1"/>
  <c r="V727" i="1"/>
  <c r="U727" i="1"/>
  <c r="T727" i="1"/>
  <c r="S727" i="1"/>
  <c r="R727" i="1"/>
  <c r="Q727" i="1"/>
  <c r="P727" i="1"/>
  <c r="O727" i="1"/>
  <c r="V726" i="1"/>
  <c r="U726" i="1"/>
  <c r="T726" i="1"/>
  <c r="S726" i="1"/>
  <c r="R726" i="1"/>
  <c r="Q726" i="1"/>
  <c r="P726" i="1"/>
  <c r="O726" i="1"/>
  <c r="V725" i="1"/>
  <c r="U725" i="1"/>
  <c r="T725" i="1"/>
  <c r="S725" i="1"/>
  <c r="R725" i="1"/>
  <c r="Q725" i="1"/>
  <c r="P725" i="1"/>
  <c r="O725" i="1"/>
  <c r="V724" i="1"/>
  <c r="U724" i="1"/>
  <c r="T724" i="1"/>
  <c r="S724" i="1"/>
  <c r="R724" i="1"/>
  <c r="Q724" i="1"/>
  <c r="P724" i="1"/>
  <c r="O724" i="1"/>
  <c r="V723" i="1"/>
  <c r="U723" i="1"/>
  <c r="T723" i="1"/>
  <c r="S723" i="1"/>
  <c r="R723" i="1"/>
  <c r="Q723" i="1"/>
  <c r="P723" i="1"/>
  <c r="O723" i="1"/>
  <c r="V722" i="1"/>
  <c r="U722" i="1"/>
  <c r="T722" i="1"/>
  <c r="S722" i="1"/>
  <c r="R722" i="1"/>
  <c r="Q722" i="1"/>
  <c r="P722" i="1"/>
  <c r="O722" i="1"/>
  <c r="V721" i="1"/>
  <c r="U721" i="1"/>
  <c r="T721" i="1"/>
  <c r="S721" i="1"/>
  <c r="R721" i="1"/>
  <c r="Q721" i="1"/>
  <c r="P721" i="1"/>
  <c r="O721" i="1"/>
  <c r="V720" i="1"/>
  <c r="U720" i="1"/>
  <c r="T720" i="1"/>
  <c r="S720" i="1"/>
  <c r="R720" i="1"/>
  <c r="Q720" i="1"/>
  <c r="P720" i="1"/>
  <c r="O720" i="1"/>
  <c r="V719" i="1"/>
  <c r="U719" i="1"/>
  <c r="T719" i="1"/>
  <c r="S719" i="1"/>
  <c r="R719" i="1"/>
  <c r="Q719" i="1"/>
  <c r="P719" i="1"/>
  <c r="O719" i="1"/>
  <c r="V718" i="1"/>
  <c r="U718" i="1"/>
  <c r="T718" i="1"/>
  <c r="S718" i="1"/>
  <c r="R718" i="1"/>
  <c r="Q718" i="1"/>
  <c r="P718" i="1"/>
  <c r="O718" i="1"/>
  <c r="V717" i="1"/>
  <c r="U717" i="1"/>
  <c r="T717" i="1"/>
  <c r="S717" i="1"/>
  <c r="R717" i="1"/>
  <c r="Q717" i="1"/>
  <c r="P717" i="1"/>
  <c r="O717" i="1"/>
  <c r="V716" i="1"/>
  <c r="U716" i="1"/>
  <c r="T716" i="1"/>
  <c r="S716" i="1"/>
  <c r="R716" i="1"/>
  <c r="Q716" i="1"/>
  <c r="P716" i="1"/>
  <c r="O716" i="1"/>
  <c r="V715" i="1"/>
  <c r="U715" i="1"/>
  <c r="T715" i="1"/>
  <c r="S715" i="1"/>
  <c r="R715" i="1"/>
  <c r="Q715" i="1"/>
  <c r="P715" i="1"/>
  <c r="O715" i="1"/>
  <c r="V714" i="1"/>
  <c r="U714" i="1"/>
  <c r="T714" i="1"/>
  <c r="S714" i="1"/>
  <c r="R714" i="1"/>
  <c r="Q714" i="1"/>
  <c r="P714" i="1"/>
  <c r="O714" i="1"/>
  <c r="V713" i="1"/>
  <c r="U713" i="1"/>
  <c r="T713" i="1"/>
  <c r="S713" i="1"/>
  <c r="R713" i="1"/>
  <c r="Q713" i="1"/>
  <c r="P713" i="1"/>
  <c r="O713" i="1"/>
  <c r="V712" i="1"/>
  <c r="U712" i="1"/>
  <c r="T712" i="1"/>
  <c r="S712" i="1"/>
  <c r="R712" i="1"/>
  <c r="Q712" i="1"/>
  <c r="P712" i="1"/>
  <c r="O712" i="1"/>
  <c r="V711" i="1"/>
  <c r="U711" i="1"/>
  <c r="T711" i="1"/>
  <c r="S711" i="1"/>
  <c r="R711" i="1"/>
  <c r="Q711" i="1"/>
  <c r="P711" i="1"/>
  <c r="O711" i="1"/>
  <c r="V710" i="1"/>
  <c r="U710" i="1"/>
  <c r="T710" i="1"/>
  <c r="S710" i="1"/>
  <c r="R710" i="1"/>
  <c r="Q710" i="1"/>
  <c r="P710" i="1"/>
  <c r="O710" i="1"/>
  <c r="V709" i="1"/>
  <c r="U709" i="1"/>
  <c r="T709" i="1"/>
  <c r="S709" i="1"/>
  <c r="R709" i="1"/>
  <c r="Q709" i="1"/>
  <c r="P709" i="1"/>
  <c r="O709" i="1"/>
  <c r="V708" i="1"/>
  <c r="U708" i="1"/>
  <c r="T708" i="1"/>
  <c r="S708" i="1"/>
  <c r="R708" i="1"/>
  <c r="Q708" i="1"/>
  <c r="P708" i="1"/>
  <c r="O708" i="1"/>
  <c r="V707" i="1"/>
  <c r="U707" i="1"/>
  <c r="T707" i="1"/>
  <c r="S707" i="1"/>
  <c r="R707" i="1"/>
  <c r="Q707" i="1"/>
  <c r="P707" i="1"/>
  <c r="O707" i="1"/>
  <c r="V706" i="1"/>
  <c r="U706" i="1"/>
  <c r="T706" i="1"/>
  <c r="S706" i="1"/>
  <c r="R706" i="1"/>
  <c r="Q706" i="1"/>
  <c r="P706" i="1"/>
  <c r="O706" i="1"/>
  <c r="V705" i="1"/>
  <c r="U705" i="1"/>
  <c r="T705" i="1"/>
  <c r="S705" i="1"/>
  <c r="R705" i="1"/>
  <c r="Q705" i="1"/>
  <c r="P705" i="1"/>
  <c r="O705" i="1"/>
  <c r="V704" i="1"/>
  <c r="U704" i="1"/>
  <c r="T704" i="1"/>
  <c r="S704" i="1"/>
  <c r="R704" i="1"/>
  <c r="Q704" i="1"/>
  <c r="P704" i="1"/>
  <c r="O704" i="1"/>
  <c r="V703" i="1"/>
  <c r="U703" i="1"/>
  <c r="T703" i="1"/>
  <c r="S703" i="1"/>
  <c r="R703" i="1"/>
  <c r="Q703" i="1"/>
  <c r="P703" i="1"/>
  <c r="O703" i="1"/>
  <c r="V702" i="1"/>
  <c r="U702" i="1"/>
  <c r="T702" i="1"/>
  <c r="S702" i="1"/>
  <c r="R702" i="1"/>
  <c r="Q702" i="1"/>
  <c r="P702" i="1"/>
  <c r="O702" i="1"/>
  <c r="V701" i="1"/>
  <c r="U701" i="1"/>
  <c r="T701" i="1"/>
  <c r="S701" i="1"/>
  <c r="R701" i="1"/>
  <c r="Q701" i="1"/>
  <c r="P701" i="1"/>
  <c r="O701" i="1"/>
  <c r="V700" i="1"/>
  <c r="U700" i="1"/>
  <c r="T700" i="1"/>
  <c r="S700" i="1"/>
  <c r="R700" i="1"/>
  <c r="Q700" i="1"/>
  <c r="P700" i="1"/>
  <c r="O700" i="1"/>
  <c r="V699" i="1"/>
  <c r="U699" i="1"/>
  <c r="T699" i="1"/>
  <c r="S699" i="1"/>
  <c r="R699" i="1"/>
  <c r="Q699" i="1"/>
  <c r="P699" i="1"/>
  <c r="O699" i="1"/>
  <c r="V698" i="1"/>
  <c r="U698" i="1"/>
  <c r="T698" i="1"/>
  <c r="S698" i="1"/>
  <c r="R698" i="1"/>
  <c r="Q698" i="1"/>
  <c r="P698" i="1"/>
  <c r="O698" i="1"/>
  <c r="V697" i="1"/>
  <c r="U697" i="1"/>
  <c r="T697" i="1"/>
  <c r="S697" i="1"/>
  <c r="R697" i="1"/>
  <c r="Q697" i="1"/>
  <c r="P697" i="1"/>
  <c r="O697" i="1"/>
  <c r="V696" i="1"/>
  <c r="U696" i="1"/>
  <c r="T696" i="1"/>
  <c r="S696" i="1"/>
  <c r="R696" i="1"/>
  <c r="Q696" i="1"/>
  <c r="P696" i="1"/>
  <c r="O696" i="1"/>
  <c r="V695" i="1"/>
  <c r="U695" i="1"/>
  <c r="T695" i="1"/>
  <c r="S695" i="1"/>
  <c r="R695" i="1"/>
  <c r="Q695" i="1"/>
  <c r="P695" i="1"/>
  <c r="O695" i="1"/>
  <c r="V694" i="1"/>
  <c r="U694" i="1"/>
  <c r="T694" i="1"/>
  <c r="S694" i="1"/>
  <c r="R694" i="1"/>
  <c r="Q694" i="1"/>
  <c r="P694" i="1"/>
  <c r="O694" i="1"/>
  <c r="V693" i="1"/>
  <c r="U693" i="1"/>
  <c r="T693" i="1"/>
  <c r="S693" i="1"/>
  <c r="R693" i="1"/>
  <c r="Q693" i="1"/>
  <c r="P693" i="1"/>
  <c r="O693" i="1"/>
  <c r="V692" i="1"/>
  <c r="U692" i="1"/>
  <c r="T692" i="1"/>
  <c r="S692" i="1"/>
  <c r="R692" i="1"/>
  <c r="Q692" i="1"/>
  <c r="P692" i="1"/>
  <c r="O692" i="1"/>
  <c r="V691" i="1"/>
  <c r="U691" i="1"/>
  <c r="T691" i="1"/>
  <c r="S691" i="1"/>
  <c r="R691" i="1"/>
  <c r="Q691" i="1"/>
  <c r="P691" i="1"/>
  <c r="O691" i="1"/>
  <c r="V690" i="1"/>
  <c r="U690" i="1"/>
  <c r="T690" i="1"/>
  <c r="S690" i="1"/>
  <c r="R690" i="1"/>
  <c r="Q690" i="1"/>
  <c r="P690" i="1"/>
  <c r="O690" i="1"/>
  <c r="V689" i="1"/>
  <c r="U689" i="1"/>
  <c r="T689" i="1"/>
  <c r="S689" i="1"/>
  <c r="R689" i="1"/>
  <c r="Q689" i="1"/>
  <c r="P689" i="1"/>
  <c r="O689" i="1"/>
  <c r="V688" i="1"/>
  <c r="U688" i="1"/>
  <c r="T688" i="1"/>
  <c r="S688" i="1"/>
  <c r="R688" i="1"/>
  <c r="Q688" i="1"/>
  <c r="P688" i="1"/>
  <c r="O688" i="1"/>
  <c r="V687" i="1"/>
  <c r="U687" i="1"/>
  <c r="T687" i="1"/>
  <c r="S687" i="1"/>
  <c r="R687" i="1"/>
  <c r="Q687" i="1"/>
  <c r="P687" i="1"/>
  <c r="O687" i="1"/>
  <c r="V686" i="1"/>
  <c r="U686" i="1"/>
  <c r="T686" i="1"/>
  <c r="S686" i="1"/>
  <c r="R686" i="1"/>
  <c r="Q686" i="1"/>
  <c r="P686" i="1"/>
  <c r="O686" i="1"/>
  <c r="V685" i="1"/>
  <c r="U685" i="1"/>
  <c r="T685" i="1"/>
  <c r="S685" i="1"/>
  <c r="R685" i="1"/>
  <c r="Q685" i="1"/>
  <c r="P685" i="1"/>
  <c r="O685" i="1"/>
  <c r="V684" i="1"/>
  <c r="U684" i="1"/>
  <c r="T684" i="1"/>
  <c r="S684" i="1"/>
  <c r="R684" i="1"/>
  <c r="Q684" i="1"/>
  <c r="P684" i="1"/>
  <c r="O684" i="1"/>
  <c r="V683" i="1"/>
  <c r="U683" i="1"/>
  <c r="T683" i="1"/>
  <c r="S683" i="1"/>
  <c r="R683" i="1"/>
  <c r="Q683" i="1"/>
  <c r="P683" i="1"/>
  <c r="O683" i="1"/>
  <c r="V682" i="1"/>
  <c r="U682" i="1"/>
  <c r="T682" i="1"/>
  <c r="S682" i="1"/>
  <c r="R682" i="1"/>
  <c r="Q682" i="1"/>
  <c r="P682" i="1"/>
  <c r="O682" i="1"/>
  <c r="V681" i="1"/>
  <c r="U681" i="1"/>
  <c r="T681" i="1"/>
  <c r="S681" i="1"/>
  <c r="R681" i="1"/>
  <c r="Q681" i="1"/>
  <c r="P681" i="1"/>
  <c r="O681" i="1"/>
  <c r="V680" i="1"/>
  <c r="U680" i="1"/>
  <c r="T680" i="1"/>
  <c r="S680" i="1"/>
  <c r="R680" i="1"/>
  <c r="Q680" i="1"/>
  <c r="P680" i="1"/>
  <c r="O680" i="1"/>
  <c r="V679" i="1"/>
  <c r="U679" i="1"/>
  <c r="T679" i="1"/>
  <c r="S679" i="1"/>
  <c r="R679" i="1"/>
  <c r="Q679" i="1"/>
  <c r="P679" i="1"/>
  <c r="O679" i="1"/>
  <c r="V678" i="1"/>
  <c r="U678" i="1"/>
  <c r="T678" i="1"/>
  <c r="S678" i="1"/>
  <c r="R678" i="1"/>
  <c r="Q678" i="1"/>
  <c r="P678" i="1"/>
  <c r="O678" i="1"/>
  <c r="V677" i="1"/>
  <c r="U677" i="1"/>
  <c r="T677" i="1"/>
  <c r="S677" i="1"/>
  <c r="R677" i="1"/>
  <c r="Q677" i="1"/>
  <c r="P677" i="1"/>
  <c r="O677" i="1"/>
  <c r="V676" i="1"/>
  <c r="U676" i="1"/>
  <c r="T676" i="1"/>
  <c r="S676" i="1"/>
  <c r="R676" i="1"/>
  <c r="Q676" i="1"/>
  <c r="P676" i="1"/>
  <c r="O676" i="1"/>
  <c r="V675" i="1"/>
  <c r="U675" i="1"/>
  <c r="T675" i="1"/>
  <c r="S675" i="1"/>
  <c r="R675" i="1"/>
  <c r="Q675" i="1"/>
  <c r="P675" i="1"/>
  <c r="O675" i="1"/>
  <c r="V674" i="1"/>
  <c r="U674" i="1"/>
  <c r="T674" i="1"/>
  <c r="S674" i="1"/>
  <c r="R674" i="1"/>
  <c r="Q674" i="1"/>
  <c r="P674" i="1"/>
  <c r="O674" i="1"/>
  <c r="V673" i="1"/>
  <c r="U673" i="1"/>
  <c r="T673" i="1"/>
  <c r="S673" i="1"/>
  <c r="R673" i="1"/>
  <c r="Q673" i="1"/>
  <c r="P673" i="1"/>
  <c r="O673" i="1"/>
  <c r="V672" i="1"/>
  <c r="U672" i="1"/>
  <c r="T672" i="1"/>
  <c r="S672" i="1"/>
  <c r="R672" i="1"/>
  <c r="Q672" i="1"/>
  <c r="P672" i="1"/>
  <c r="O672" i="1"/>
  <c r="V671" i="1"/>
  <c r="U671" i="1"/>
  <c r="T671" i="1"/>
  <c r="S671" i="1"/>
  <c r="R671" i="1"/>
  <c r="Q671" i="1"/>
  <c r="P671" i="1"/>
  <c r="O671" i="1"/>
  <c r="V670" i="1"/>
  <c r="U670" i="1"/>
  <c r="T670" i="1"/>
  <c r="S670" i="1"/>
  <c r="R670" i="1"/>
  <c r="Q670" i="1"/>
  <c r="P670" i="1"/>
  <c r="O670" i="1"/>
  <c r="V669" i="1"/>
  <c r="U669" i="1"/>
  <c r="T669" i="1"/>
  <c r="S669" i="1"/>
  <c r="R669" i="1"/>
  <c r="Q669" i="1"/>
  <c r="P669" i="1"/>
  <c r="O669" i="1"/>
  <c r="V668" i="1"/>
  <c r="U668" i="1"/>
  <c r="T668" i="1"/>
  <c r="S668" i="1"/>
  <c r="R668" i="1"/>
  <c r="Q668" i="1"/>
  <c r="P668" i="1"/>
  <c r="O668" i="1"/>
  <c r="V667" i="1"/>
  <c r="U667" i="1"/>
  <c r="T667" i="1"/>
  <c r="S667" i="1"/>
  <c r="R667" i="1"/>
  <c r="Q667" i="1"/>
  <c r="P667" i="1"/>
  <c r="O667" i="1"/>
  <c r="V666" i="1"/>
  <c r="U666" i="1"/>
  <c r="T666" i="1"/>
  <c r="S666" i="1"/>
  <c r="R666" i="1"/>
  <c r="Q666" i="1"/>
  <c r="P666" i="1"/>
  <c r="O666" i="1"/>
  <c r="V665" i="1"/>
  <c r="U665" i="1"/>
  <c r="T665" i="1"/>
  <c r="S665" i="1"/>
  <c r="R665" i="1"/>
  <c r="Q665" i="1"/>
  <c r="P665" i="1"/>
  <c r="O665" i="1"/>
  <c r="V664" i="1"/>
  <c r="U664" i="1"/>
  <c r="T664" i="1"/>
  <c r="S664" i="1"/>
  <c r="R664" i="1"/>
  <c r="Q664" i="1"/>
  <c r="P664" i="1"/>
  <c r="O664" i="1"/>
  <c r="V663" i="1"/>
  <c r="U663" i="1"/>
  <c r="T663" i="1"/>
  <c r="S663" i="1"/>
  <c r="R663" i="1"/>
  <c r="Q663" i="1"/>
  <c r="P663" i="1"/>
  <c r="O663" i="1"/>
  <c r="V662" i="1"/>
  <c r="U662" i="1"/>
  <c r="T662" i="1"/>
  <c r="S662" i="1"/>
  <c r="R662" i="1"/>
  <c r="Q662" i="1"/>
  <c r="P662" i="1"/>
  <c r="O662" i="1"/>
  <c r="V661" i="1"/>
  <c r="U661" i="1"/>
  <c r="T661" i="1"/>
  <c r="S661" i="1"/>
  <c r="R661" i="1"/>
  <c r="Q661" i="1"/>
  <c r="P661" i="1"/>
  <c r="O661" i="1"/>
  <c r="V660" i="1"/>
  <c r="U660" i="1"/>
  <c r="T660" i="1"/>
  <c r="S660" i="1"/>
  <c r="R660" i="1"/>
  <c r="Q660" i="1"/>
  <c r="P660" i="1"/>
  <c r="O660" i="1"/>
  <c r="V659" i="1"/>
  <c r="U659" i="1"/>
  <c r="T659" i="1"/>
  <c r="S659" i="1"/>
  <c r="R659" i="1"/>
  <c r="Q659" i="1"/>
  <c r="P659" i="1"/>
  <c r="O659" i="1"/>
  <c r="V658" i="1"/>
  <c r="U658" i="1"/>
  <c r="T658" i="1"/>
  <c r="S658" i="1"/>
  <c r="R658" i="1"/>
  <c r="Q658" i="1"/>
  <c r="P658" i="1"/>
  <c r="O658" i="1"/>
  <c r="V657" i="1"/>
  <c r="U657" i="1"/>
  <c r="T657" i="1"/>
  <c r="S657" i="1"/>
  <c r="R657" i="1"/>
  <c r="Q657" i="1"/>
  <c r="P657" i="1"/>
  <c r="O657" i="1"/>
  <c r="V656" i="1"/>
  <c r="U656" i="1"/>
  <c r="T656" i="1"/>
  <c r="S656" i="1"/>
  <c r="R656" i="1"/>
  <c r="Q656" i="1"/>
  <c r="P656" i="1"/>
  <c r="O656" i="1"/>
  <c r="V655" i="1"/>
  <c r="U655" i="1"/>
  <c r="T655" i="1"/>
  <c r="S655" i="1"/>
  <c r="R655" i="1"/>
  <c r="Q655" i="1"/>
  <c r="P655" i="1"/>
  <c r="O655" i="1"/>
  <c r="V654" i="1"/>
  <c r="U654" i="1"/>
  <c r="T654" i="1"/>
  <c r="S654" i="1"/>
  <c r="R654" i="1"/>
  <c r="Q654" i="1"/>
  <c r="P654" i="1"/>
  <c r="O654" i="1"/>
  <c r="V653" i="1"/>
  <c r="U653" i="1"/>
  <c r="T653" i="1"/>
  <c r="S653" i="1"/>
  <c r="R653" i="1"/>
  <c r="Q653" i="1"/>
  <c r="P653" i="1"/>
  <c r="O653" i="1"/>
  <c r="V652" i="1"/>
  <c r="U652" i="1"/>
  <c r="T652" i="1"/>
  <c r="S652" i="1"/>
  <c r="R652" i="1"/>
  <c r="Q652" i="1"/>
  <c r="P652" i="1"/>
  <c r="O652" i="1"/>
  <c r="V651" i="1"/>
  <c r="U651" i="1"/>
  <c r="T651" i="1"/>
  <c r="S651" i="1"/>
  <c r="R651" i="1"/>
  <c r="Q651" i="1"/>
  <c r="P651" i="1"/>
  <c r="O651" i="1"/>
  <c r="V650" i="1"/>
  <c r="U650" i="1"/>
  <c r="T650" i="1"/>
  <c r="S650" i="1"/>
  <c r="R650" i="1"/>
  <c r="Q650" i="1"/>
  <c r="P650" i="1"/>
  <c r="O650" i="1"/>
  <c r="V649" i="1"/>
  <c r="U649" i="1"/>
  <c r="T649" i="1"/>
  <c r="S649" i="1"/>
  <c r="R649" i="1"/>
  <c r="Q649" i="1"/>
  <c r="P649" i="1"/>
  <c r="O649" i="1"/>
  <c r="V648" i="1"/>
  <c r="U648" i="1"/>
  <c r="T648" i="1"/>
  <c r="S648" i="1"/>
  <c r="R648" i="1"/>
  <c r="Q648" i="1"/>
  <c r="P648" i="1"/>
  <c r="O648" i="1"/>
  <c r="V647" i="1"/>
  <c r="U647" i="1"/>
  <c r="T647" i="1"/>
  <c r="S647" i="1"/>
  <c r="R647" i="1"/>
  <c r="Q647" i="1"/>
  <c r="P647" i="1"/>
  <c r="O647" i="1"/>
  <c r="V646" i="1"/>
  <c r="U646" i="1"/>
  <c r="T646" i="1"/>
  <c r="S646" i="1"/>
  <c r="R646" i="1"/>
  <c r="Q646" i="1"/>
  <c r="P646" i="1"/>
  <c r="O646" i="1"/>
  <c r="V645" i="1"/>
  <c r="U645" i="1"/>
  <c r="T645" i="1"/>
  <c r="S645" i="1"/>
  <c r="R645" i="1"/>
  <c r="Q645" i="1"/>
  <c r="P645" i="1"/>
  <c r="O645" i="1"/>
  <c r="V644" i="1"/>
  <c r="U644" i="1"/>
  <c r="T644" i="1"/>
  <c r="S644" i="1"/>
  <c r="R644" i="1"/>
  <c r="Q644" i="1"/>
  <c r="P644" i="1"/>
  <c r="O644" i="1"/>
  <c r="V643" i="1"/>
  <c r="U643" i="1"/>
  <c r="T643" i="1"/>
  <c r="S643" i="1"/>
  <c r="R643" i="1"/>
  <c r="Q643" i="1"/>
  <c r="P643" i="1"/>
  <c r="O643" i="1"/>
  <c r="V642" i="1"/>
  <c r="U642" i="1"/>
  <c r="T642" i="1"/>
  <c r="S642" i="1"/>
  <c r="R642" i="1"/>
  <c r="Q642" i="1"/>
  <c r="P642" i="1"/>
  <c r="O642" i="1"/>
  <c r="V641" i="1"/>
  <c r="U641" i="1"/>
  <c r="T641" i="1"/>
  <c r="S641" i="1"/>
  <c r="R641" i="1"/>
  <c r="Q641" i="1"/>
  <c r="P641" i="1"/>
  <c r="O641" i="1"/>
  <c r="V640" i="1"/>
  <c r="U640" i="1"/>
  <c r="T640" i="1"/>
  <c r="S640" i="1"/>
  <c r="R640" i="1"/>
  <c r="Q640" i="1"/>
  <c r="P640" i="1"/>
  <c r="O640" i="1"/>
  <c r="V639" i="1"/>
  <c r="U639" i="1"/>
  <c r="T639" i="1"/>
  <c r="S639" i="1"/>
  <c r="R639" i="1"/>
  <c r="Q639" i="1"/>
  <c r="P639" i="1"/>
  <c r="O639" i="1"/>
  <c r="V638" i="1"/>
  <c r="U638" i="1"/>
  <c r="T638" i="1"/>
  <c r="S638" i="1"/>
  <c r="R638" i="1"/>
  <c r="Q638" i="1"/>
  <c r="P638" i="1"/>
  <c r="O638" i="1"/>
  <c r="V637" i="1"/>
  <c r="U637" i="1"/>
  <c r="T637" i="1"/>
  <c r="S637" i="1"/>
  <c r="R637" i="1"/>
  <c r="Q637" i="1"/>
  <c r="P637" i="1"/>
  <c r="O637" i="1"/>
  <c r="V636" i="1"/>
  <c r="U636" i="1"/>
  <c r="T636" i="1"/>
  <c r="S636" i="1"/>
  <c r="R636" i="1"/>
  <c r="Q636" i="1"/>
  <c r="P636" i="1"/>
  <c r="O636" i="1"/>
  <c r="V635" i="1"/>
  <c r="U635" i="1"/>
  <c r="T635" i="1"/>
  <c r="S635" i="1"/>
  <c r="R635" i="1"/>
  <c r="Q635" i="1"/>
  <c r="P635" i="1"/>
  <c r="O635" i="1"/>
  <c r="V634" i="1"/>
  <c r="U634" i="1"/>
  <c r="T634" i="1"/>
  <c r="S634" i="1"/>
  <c r="R634" i="1"/>
  <c r="Q634" i="1"/>
  <c r="P634" i="1"/>
  <c r="O634" i="1"/>
  <c r="V633" i="1"/>
  <c r="U633" i="1"/>
  <c r="T633" i="1"/>
  <c r="S633" i="1"/>
  <c r="R633" i="1"/>
  <c r="Q633" i="1"/>
  <c r="P633" i="1"/>
  <c r="O633" i="1"/>
  <c r="V632" i="1"/>
  <c r="U632" i="1"/>
  <c r="T632" i="1"/>
  <c r="S632" i="1"/>
  <c r="R632" i="1"/>
  <c r="Q632" i="1"/>
  <c r="P632" i="1"/>
  <c r="O632" i="1"/>
  <c r="V631" i="1"/>
  <c r="U631" i="1"/>
  <c r="T631" i="1"/>
  <c r="S631" i="1"/>
  <c r="R631" i="1"/>
  <c r="Q631" i="1"/>
  <c r="P631" i="1"/>
  <c r="O631" i="1"/>
  <c r="V630" i="1"/>
  <c r="U630" i="1"/>
  <c r="T630" i="1"/>
  <c r="S630" i="1"/>
  <c r="R630" i="1"/>
  <c r="Q630" i="1"/>
  <c r="P630" i="1"/>
  <c r="O630" i="1"/>
  <c r="V629" i="1"/>
  <c r="U629" i="1"/>
  <c r="T629" i="1"/>
  <c r="S629" i="1"/>
  <c r="R629" i="1"/>
  <c r="Q629" i="1"/>
  <c r="P629" i="1"/>
  <c r="O629" i="1"/>
  <c r="V628" i="1"/>
  <c r="U628" i="1"/>
  <c r="T628" i="1"/>
  <c r="S628" i="1"/>
  <c r="R628" i="1"/>
  <c r="Q628" i="1"/>
  <c r="P628" i="1"/>
  <c r="O628" i="1"/>
  <c r="V627" i="1"/>
  <c r="U627" i="1"/>
  <c r="T627" i="1"/>
  <c r="S627" i="1"/>
  <c r="R627" i="1"/>
  <c r="Q627" i="1"/>
  <c r="P627" i="1"/>
  <c r="O627" i="1"/>
  <c r="V626" i="1"/>
  <c r="U626" i="1"/>
  <c r="T626" i="1"/>
  <c r="S626" i="1"/>
  <c r="R626" i="1"/>
  <c r="Q626" i="1"/>
  <c r="P626" i="1"/>
  <c r="O626" i="1"/>
  <c r="V625" i="1"/>
  <c r="U625" i="1"/>
  <c r="T625" i="1"/>
  <c r="S625" i="1"/>
  <c r="R625" i="1"/>
  <c r="Q625" i="1"/>
  <c r="P625" i="1"/>
  <c r="O625" i="1"/>
  <c r="V624" i="1"/>
  <c r="U624" i="1"/>
  <c r="T624" i="1"/>
  <c r="S624" i="1"/>
  <c r="R624" i="1"/>
  <c r="Q624" i="1"/>
  <c r="P624" i="1"/>
  <c r="O624" i="1"/>
  <c r="V623" i="1"/>
  <c r="U623" i="1"/>
  <c r="T623" i="1"/>
  <c r="S623" i="1"/>
  <c r="R623" i="1"/>
  <c r="Q623" i="1"/>
  <c r="P623" i="1"/>
  <c r="O623" i="1"/>
  <c r="V622" i="1"/>
  <c r="U622" i="1"/>
  <c r="T622" i="1"/>
  <c r="S622" i="1"/>
  <c r="R622" i="1"/>
  <c r="Q622" i="1"/>
  <c r="P622" i="1"/>
  <c r="O622" i="1"/>
  <c r="V621" i="1"/>
  <c r="U621" i="1"/>
  <c r="T621" i="1"/>
  <c r="S621" i="1"/>
  <c r="R621" i="1"/>
  <c r="Q621" i="1"/>
  <c r="P621" i="1"/>
  <c r="O621" i="1"/>
  <c r="V620" i="1"/>
  <c r="U620" i="1"/>
  <c r="T620" i="1"/>
  <c r="S620" i="1"/>
  <c r="R620" i="1"/>
  <c r="Q620" i="1"/>
  <c r="P620" i="1"/>
  <c r="O620" i="1"/>
  <c r="V619" i="1"/>
  <c r="U619" i="1"/>
  <c r="T619" i="1"/>
  <c r="S619" i="1"/>
  <c r="R619" i="1"/>
  <c r="Q619" i="1"/>
  <c r="P619" i="1"/>
  <c r="O619" i="1"/>
  <c r="V618" i="1"/>
  <c r="U618" i="1"/>
  <c r="T618" i="1"/>
  <c r="S618" i="1"/>
  <c r="R618" i="1"/>
  <c r="Q618" i="1"/>
  <c r="P618" i="1"/>
  <c r="O618" i="1"/>
  <c r="V617" i="1"/>
  <c r="U617" i="1"/>
  <c r="T617" i="1"/>
  <c r="S617" i="1"/>
  <c r="R617" i="1"/>
  <c r="Q617" i="1"/>
  <c r="P617" i="1"/>
  <c r="O617" i="1"/>
  <c r="V616" i="1"/>
  <c r="U616" i="1"/>
  <c r="T616" i="1"/>
  <c r="S616" i="1"/>
  <c r="R616" i="1"/>
  <c r="Q616" i="1"/>
  <c r="P616" i="1"/>
  <c r="O616" i="1"/>
  <c r="V615" i="1"/>
  <c r="U615" i="1"/>
  <c r="T615" i="1"/>
  <c r="S615" i="1"/>
  <c r="R615" i="1"/>
  <c r="Q615" i="1"/>
  <c r="P615" i="1"/>
  <c r="O615" i="1"/>
  <c r="V614" i="1"/>
  <c r="U614" i="1"/>
  <c r="T614" i="1"/>
  <c r="S614" i="1"/>
  <c r="R614" i="1"/>
  <c r="Q614" i="1"/>
  <c r="P614" i="1"/>
  <c r="O614" i="1"/>
  <c r="V613" i="1"/>
  <c r="U613" i="1"/>
  <c r="T613" i="1"/>
  <c r="S613" i="1"/>
  <c r="R613" i="1"/>
  <c r="Q613" i="1"/>
  <c r="P613" i="1"/>
  <c r="O613" i="1"/>
  <c r="V612" i="1"/>
  <c r="U612" i="1"/>
  <c r="T612" i="1"/>
  <c r="S612" i="1"/>
  <c r="R612" i="1"/>
  <c r="Q612" i="1"/>
  <c r="P612" i="1"/>
  <c r="O612" i="1"/>
  <c r="V611" i="1"/>
  <c r="U611" i="1"/>
  <c r="T611" i="1"/>
  <c r="S611" i="1"/>
  <c r="R611" i="1"/>
  <c r="Q611" i="1"/>
  <c r="P611" i="1"/>
  <c r="O611" i="1"/>
  <c r="V610" i="1"/>
  <c r="U610" i="1"/>
  <c r="T610" i="1"/>
  <c r="S610" i="1"/>
  <c r="R610" i="1"/>
  <c r="Q610" i="1"/>
  <c r="P610" i="1"/>
  <c r="O610" i="1"/>
  <c r="V609" i="1"/>
  <c r="U609" i="1"/>
  <c r="T609" i="1"/>
  <c r="S609" i="1"/>
  <c r="R609" i="1"/>
  <c r="Q609" i="1"/>
  <c r="P609" i="1"/>
  <c r="O609" i="1"/>
  <c r="V608" i="1"/>
  <c r="U608" i="1"/>
  <c r="T608" i="1"/>
  <c r="S608" i="1"/>
  <c r="R608" i="1"/>
  <c r="Q608" i="1"/>
  <c r="P608" i="1"/>
  <c r="O608" i="1"/>
  <c r="V607" i="1"/>
  <c r="U607" i="1"/>
  <c r="T607" i="1"/>
  <c r="S607" i="1"/>
  <c r="R607" i="1"/>
  <c r="Q607" i="1"/>
  <c r="P607" i="1"/>
  <c r="O607" i="1"/>
  <c r="V606" i="1"/>
  <c r="U606" i="1"/>
  <c r="T606" i="1"/>
  <c r="S606" i="1"/>
  <c r="R606" i="1"/>
  <c r="Q606" i="1"/>
  <c r="P606" i="1"/>
  <c r="O606" i="1"/>
  <c r="V605" i="1"/>
  <c r="U605" i="1"/>
  <c r="T605" i="1"/>
  <c r="S605" i="1"/>
  <c r="R605" i="1"/>
  <c r="Q605" i="1"/>
  <c r="P605" i="1"/>
  <c r="O605" i="1"/>
  <c r="V604" i="1"/>
  <c r="U604" i="1"/>
  <c r="T604" i="1"/>
  <c r="S604" i="1"/>
  <c r="R604" i="1"/>
  <c r="Q604" i="1"/>
  <c r="P604" i="1"/>
  <c r="O604" i="1"/>
  <c r="V603" i="1"/>
  <c r="U603" i="1"/>
  <c r="T603" i="1"/>
  <c r="S603" i="1"/>
  <c r="R603" i="1"/>
  <c r="Q603" i="1"/>
  <c r="P603" i="1"/>
  <c r="O603" i="1"/>
  <c r="V602" i="1"/>
  <c r="U602" i="1"/>
  <c r="T602" i="1"/>
  <c r="S602" i="1"/>
  <c r="R602" i="1"/>
  <c r="Q602" i="1"/>
  <c r="P602" i="1"/>
  <c r="O602" i="1"/>
  <c r="V601" i="1"/>
  <c r="U601" i="1"/>
  <c r="T601" i="1"/>
  <c r="S601" i="1"/>
  <c r="R601" i="1"/>
  <c r="Q601" i="1"/>
  <c r="P601" i="1"/>
  <c r="O601" i="1"/>
  <c r="V600" i="1"/>
  <c r="U600" i="1"/>
  <c r="T600" i="1"/>
  <c r="S600" i="1"/>
  <c r="R600" i="1"/>
  <c r="Q600" i="1"/>
  <c r="P600" i="1"/>
  <c r="O600" i="1"/>
  <c r="V599" i="1"/>
  <c r="U599" i="1"/>
  <c r="T599" i="1"/>
  <c r="S599" i="1"/>
  <c r="R599" i="1"/>
  <c r="Q599" i="1"/>
  <c r="P599" i="1"/>
  <c r="O599" i="1"/>
  <c r="V598" i="1"/>
  <c r="U598" i="1"/>
  <c r="T598" i="1"/>
  <c r="S598" i="1"/>
  <c r="R598" i="1"/>
  <c r="Q598" i="1"/>
  <c r="P598" i="1"/>
  <c r="O598" i="1"/>
  <c r="V597" i="1"/>
  <c r="U597" i="1"/>
  <c r="T597" i="1"/>
  <c r="S597" i="1"/>
  <c r="R597" i="1"/>
  <c r="Q597" i="1"/>
  <c r="P597" i="1"/>
  <c r="O597" i="1"/>
  <c r="V596" i="1"/>
  <c r="U596" i="1"/>
  <c r="T596" i="1"/>
  <c r="S596" i="1"/>
  <c r="R596" i="1"/>
  <c r="Q596" i="1"/>
  <c r="P596" i="1"/>
  <c r="O596" i="1"/>
  <c r="V595" i="1"/>
  <c r="U595" i="1"/>
  <c r="T595" i="1"/>
  <c r="S595" i="1"/>
  <c r="R595" i="1"/>
  <c r="Q595" i="1"/>
  <c r="P595" i="1"/>
  <c r="O595" i="1"/>
  <c r="V594" i="1"/>
  <c r="U594" i="1"/>
  <c r="T594" i="1"/>
  <c r="S594" i="1"/>
  <c r="R594" i="1"/>
  <c r="Q594" i="1"/>
  <c r="P594" i="1"/>
  <c r="O594" i="1"/>
  <c r="V593" i="1"/>
  <c r="U593" i="1"/>
  <c r="T593" i="1"/>
  <c r="S593" i="1"/>
  <c r="R593" i="1"/>
  <c r="Q593" i="1"/>
  <c r="P593" i="1"/>
  <c r="O593" i="1"/>
  <c r="V592" i="1"/>
  <c r="U592" i="1"/>
  <c r="T592" i="1"/>
  <c r="S592" i="1"/>
  <c r="R592" i="1"/>
  <c r="Q592" i="1"/>
  <c r="P592" i="1"/>
  <c r="O592" i="1"/>
  <c r="V591" i="1"/>
  <c r="U591" i="1"/>
  <c r="T591" i="1"/>
  <c r="S591" i="1"/>
  <c r="R591" i="1"/>
  <c r="Q591" i="1"/>
  <c r="P591" i="1"/>
  <c r="O591" i="1"/>
  <c r="V590" i="1"/>
  <c r="U590" i="1"/>
  <c r="T590" i="1"/>
  <c r="S590" i="1"/>
  <c r="R590" i="1"/>
  <c r="Q590" i="1"/>
  <c r="P590" i="1"/>
  <c r="O590" i="1"/>
  <c r="V589" i="1"/>
  <c r="U589" i="1"/>
  <c r="T589" i="1"/>
  <c r="S589" i="1"/>
  <c r="R589" i="1"/>
  <c r="Q589" i="1"/>
  <c r="P589" i="1"/>
  <c r="O589" i="1"/>
  <c r="V588" i="1"/>
  <c r="U588" i="1"/>
  <c r="T588" i="1"/>
  <c r="S588" i="1"/>
  <c r="R588" i="1"/>
  <c r="Q588" i="1"/>
  <c r="P588" i="1"/>
  <c r="O588" i="1"/>
  <c r="V587" i="1"/>
  <c r="U587" i="1"/>
  <c r="T587" i="1"/>
  <c r="S587" i="1"/>
  <c r="R587" i="1"/>
  <c r="Q587" i="1"/>
  <c r="P587" i="1"/>
  <c r="O587" i="1"/>
  <c r="V586" i="1"/>
  <c r="U586" i="1"/>
  <c r="T586" i="1"/>
  <c r="S586" i="1"/>
  <c r="R586" i="1"/>
  <c r="Q586" i="1"/>
  <c r="P586" i="1"/>
  <c r="O586" i="1"/>
  <c r="V585" i="1"/>
  <c r="U585" i="1"/>
  <c r="T585" i="1"/>
  <c r="S585" i="1"/>
  <c r="R585" i="1"/>
  <c r="Q585" i="1"/>
  <c r="P585" i="1"/>
  <c r="O585" i="1"/>
  <c r="V584" i="1"/>
  <c r="U584" i="1"/>
  <c r="T584" i="1"/>
  <c r="S584" i="1"/>
  <c r="R584" i="1"/>
  <c r="Q584" i="1"/>
  <c r="P584" i="1"/>
  <c r="O584" i="1"/>
  <c r="V583" i="1"/>
  <c r="U583" i="1"/>
  <c r="T583" i="1"/>
  <c r="S583" i="1"/>
  <c r="R583" i="1"/>
  <c r="Q583" i="1"/>
  <c r="P583" i="1"/>
  <c r="O583" i="1"/>
  <c r="V582" i="1"/>
  <c r="U582" i="1"/>
  <c r="T582" i="1"/>
  <c r="S582" i="1"/>
  <c r="R582" i="1"/>
  <c r="Q582" i="1"/>
  <c r="P582" i="1"/>
  <c r="O582" i="1"/>
  <c r="V581" i="1"/>
  <c r="U581" i="1"/>
  <c r="T581" i="1"/>
  <c r="S581" i="1"/>
  <c r="R581" i="1"/>
  <c r="Q581" i="1"/>
  <c r="P581" i="1"/>
  <c r="O581" i="1"/>
  <c r="V580" i="1"/>
  <c r="U580" i="1"/>
  <c r="T580" i="1"/>
  <c r="S580" i="1"/>
  <c r="R580" i="1"/>
  <c r="Q580" i="1"/>
  <c r="P580" i="1"/>
  <c r="O580" i="1"/>
  <c r="V579" i="1"/>
  <c r="U579" i="1"/>
  <c r="T579" i="1"/>
  <c r="S579" i="1"/>
  <c r="R579" i="1"/>
  <c r="Q579" i="1"/>
  <c r="P579" i="1"/>
  <c r="O579" i="1"/>
  <c r="V578" i="1"/>
  <c r="U578" i="1"/>
  <c r="T578" i="1"/>
  <c r="S578" i="1"/>
  <c r="R578" i="1"/>
  <c r="Q578" i="1"/>
  <c r="P578" i="1"/>
  <c r="O578" i="1"/>
  <c r="V577" i="1"/>
  <c r="U577" i="1"/>
  <c r="T577" i="1"/>
  <c r="S577" i="1"/>
  <c r="R577" i="1"/>
  <c r="Q577" i="1"/>
  <c r="P577" i="1"/>
  <c r="O577" i="1"/>
  <c r="V576" i="1"/>
  <c r="U576" i="1"/>
  <c r="T576" i="1"/>
  <c r="S576" i="1"/>
  <c r="R576" i="1"/>
  <c r="Q576" i="1"/>
  <c r="P576" i="1"/>
  <c r="O576" i="1"/>
  <c r="V575" i="1"/>
  <c r="U575" i="1"/>
  <c r="T575" i="1"/>
  <c r="S575" i="1"/>
  <c r="R575" i="1"/>
  <c r="Q575" i="1"/>
  <c r="P575" i="1"/>
  <c r="O575" i="1"/>
  <c r="V574" i="1"/>
  <c r="U574" i="1"/>
  <c r="T574" i="1"/>
  <c r="S574" i="1"/>
  <c r="R574" i="1"/>
  <c r="Q574" i="1"/>
  <c r="P574" i="1"/>
  <c r="O574" i="1"/>
  <c r="V573" i="1"/>
  <c r="U573" i="1"/>
  <c r="T573" i="1"/>
  <c r="S573" i="1"/>
  <c r="R573" i="1"/>
  <c r="Q573" i="1"/>
  <c r="P573" i="1"/>
  <c r="O573" i="1"/>
  <c r="V572" i="1"/>
  <c r="U572" i="1"/>
  <c r="T572" i="1"/>
  <c r="S572" i="1"/>
  <c r="R572" i="1"/>
  <c r="Q572" i="1"/>
  <c r="P572" i="1"/>
  <c r="O572" i="1"/>
  <c r="V571" i="1"/>
  <c r="U571" i="1"/>
  <c r="T571" i="1"/>
  <c r="S571" i="1"/>
  <c r="R571" i="1"/>
  <c r="Q571" i="1"/>
  <c r="P571" i="1"/>
  <c r="O571" i="1"/>
  <c r="V570" i="1"/>
  <c r="U570" i="1"/>
  <c r="T570" i="1"/>
  <c r="S570" i="1"/>
  <c r="R570" i="1"/>
  <c r="Q570" i="1"/>
  <c r="P570" i="1"/>
  <c r="O570" i="1"/>
  <c r="V569" i="1"/>
  <c r="U569" i="1"/>
  <c r="T569" i="1"/>
  <c r="S569" i="1"/>
  <c r="R569" i="1"/>
  <c r="Q569" i="1"/>
  <c r="P569" i="1"/>
  <c r="O569" i="1"/>
  <c r="V568" i="1"/>
  <c r="U568" i="1"/>
  <c r="T568" i="1"/>
  <c r="S568" i="1"/>
  <c r="R568" i="1"/>
  <c r="Q568" i="1"/>
  <c r="P568" i="1"/>
  <c r="O568" i="1"/>
  <c r="V567" i="1"/>
  <c r="U567" i="1"/>
  <c r="T567" i="1"/>
  <c r="S567" i="1"/>
  <c r="R567" i="1"/>
  <c r="Q567" i="1"/>
  <c r="P567" i="1"/>
  <c r="O567" i="1"/>
  <c r="V566" i="1"/>
  <c r="U566" i="1"/>
  <c r="T566" i="1"/>
  <c r="S566" i="1"/>
  <c r="R566" i="1"/>
  <c r="Q566" i="1"/>
  <c r="P566" i="1"/>
  <c r="O566" i="1"/>
  <c r="V565" i="1"/>
  <c r="U565" i="1"/>
  <c r="T565" i="1"/>
  <c r="S565" i="1"/>
  <c r="R565" i="1"/>
  <c r="Q565" i="1"/>
  <c r="P565" i="1"/>
  <c r="O565" i="1"/>
  <c r="V564" i="1"/>
  <c r="U564" i="1"/>
  <c r="T564" i="1"/>
  <c r="S564" i="1"/>
  <c r="R564" i="1"/>
  <c r="Q564" i="1"/>
  <c r="P564" i="1"/>
  <c r="O564" i="1"/>
  <c r="V563" i="1"/>
  <c r="U563" i="1"/>
  <c r="T563" i="1"/>
  <c r="S563" i="1"/>
  <c r="R563" i="1"/>
  <c r="Q563" i="1"/>
  <c r="P563" i="1"/>
  <c r="O563" i="1"/>
  <c r="V562" i="1"/>
  <c r="U562" i="1"/>
  <c r="T562" i="1"/>
  <c r="S562" i="1"/>
  <c r="R562" i="1"/>
  <c r="Q562" i="1"/>
  <c r="P562" i="1"/>
  <c r="O562" i="1"/>
  <c r="V561" i="1"/>
  <c r="U561" i="1"/>
  <c r="T561" i="1"/>
  <c r="S561" i="1"/>
  <c r="R561" i="1"/>
  <c r="Q561" i="1"/>
  <c r="P561" i="1"/>
  <c r="O561" i="1"/>
  <c r="V560" i="1"/>
  <c r="U560" i="1"/>
  <c r="T560" i="1"/>
  <c r="S560" i="1"/>
  <c r="R560" i="1"/>
  <c r="Q560" i="1"/>
  <c r="P560" i="1"/>
  <c r="O560" i="1"/>
  <c r="V559" i="1"/>
  <c r="U559" i="1"/>
  <c r="T559" i="1"/>
  <c r="S559" i="1"/>
  <c r="R559" i="1"/>
  <c r="Q559" i="1"/>
  <c r="P559" i="1"/>
  <c r="O559" i="1"/>
  <c r="V558" i="1"/>
  <c r="U558" i="1"/>
  <c r="T558" i="1"/>
  <c r="S558" i="1"/>
  <c r="R558" i="1"/>
  <c r="Q558" i="1"/>
  <c r="P558" i="1"/>
  <c r="O558" i="1"/>
  <c r="V557" i="1"/>
  <c r="U557" i="1"/>
  <c r="T557" i="1"/>
  <c r="S557" i="1"/>
  <c r="R557" i="1"/>
  <c r="Q557" i="1"/>
  <c r="P557" i="1"/>
  <c r="O557" i="1"/>
  <c r="V556" i="1"/>
  <c r="U556" i="1"/>
  <c r="T556" i="1"/>
  <c r="S556" i="1"/>
  <c r="R556" i="1"/>
  <c r="Q556" i="1"/>
  <c r="P556" i="1"/>
  <c r="O556" i="1"/>
  <c r="V555" i="1"/>
  <c r="U555" i="1"/>
  <c r="T555" i="1"/>
  <c r="S555" i="1"/>
  <c r="R555" i="1"/>
  <c r="Q555" i="1"/>
  <c r="P555" i="1"/>
  <c r="O555" i="1"/>
  <c r="V554" i="1"/>
  <c r="U554" i="1"/>
  <c r="T554" i="1"/>
  <c r="S554" i="1"/>
  <c r="R554" i="1"/>
  <c r="Q554" i="1"/>
  <c r="P554" i="1"/>
  <c r="O554" i="1"/>
  <c r="V553" i="1"/>
  <c r="U553" i="1"/>
  <c r="T553" i="1"/>
  <c r="S553" i="1"/>
  <c r="R553" i="1"/>
  <c r="Q553" i="1"/>
  <c r="P553" i="1"/>
  <c r="O553" i="1"/>
  <c r="V552" i="1"/>
  <c r="U552" i="1"/>
  <c r="T552" i="1"/>
  <c r="S552" i="1"/>
  <c r="R552" i="1"/>
  <c r="Q552" i="1"/>
  <c r="P552" i="1"/>
  <c r="O552" i="1"/>
  <c r="V551" i="1"/>
  <c r="U551" i="1"/>
  <c r="T551" i="1"/>
  <c r="S551" i="1"/>
  <c r="R551" i="1"/>
  <c r="Q551" i="1"/>
  <c r="P551" i="1"/>
  <c r="O551" i="1"/>
  <c r="V550" i="1"/>
  <c r="U550" i="1"/>
  <c r="T550" i="1"/>
  <c r="S550" i="1"/>
  <c r="R550" i="1"/>
  <c r="Q550" i="1"/>
  <c r="P550" i="1"/>
  <c r="O550" i="1"/>
  <c r="V549" i="1"/>
  <c r="U549" i="1"/>
  <c r="T549" i="1"/>
  <c r="S549" i="1"/>
  <c r="R549" i="1"/>
  <c r="Q549" i="1"/>
  <c r="P549" i="1"/>
  <c r="O549" i="1"/>
  <c r="V548" i="1"/>
  <c r="U548" i="1"/>
  <c r="T548" i="1"/>
  <c r="S548" i="1"/>
  <c r="R548" i="1"/>
  <c r="Q548" i="1"/>
  <c r="P548" i="1"/>
  <c r="O548" i="1"/>
  <c r="V547" i="1"/>
  <c r="U547" i="1"/>
  <c r="T547" i="1"/>
  <c r="S547" i="1"/>
  <c r="R547" i="1"/>
  <c r="Q547" i="1"/>
  <c r="P547" i="1"/>
  <c r="O547" i="1"/>
  <c r="V546" i="1"/>
  <c r="U546" i="1"/>
  <c r="T546" i="1"/>
  <c r="S546" i="1"/>
  <c r="R546" i="1"/>
  <c r="Q546" i="1"/>
  <c r="P546" i="1"/>
  <c r="O546" i="1"/>
  <c r="V545" i="1"/>
  <c r="U545" i="1"/>
  <c r="T545" i="1"/>
  <c r="S545" i="1"/>
  <c r="R545" i="1"/>
  <c r="Q545" i="1"/>
  <c r="P545" i="1"/>
  <c r="O545" i="1"/>
  <c r="V544" i="1"/>
  <c r="U544" i="1"/>
  <c r="T544" i="1"/>
  <c r="S544" i="1"/>
  <c r="R544" i="1"/>
  <c r="Q544" i="1"/>
  <c r="P544" i="1"/>
  <c r="O544" i="1"/>
  <c r="V543" i="1"/>
  <c r="U543" i="1"/>
  <c r="T543" i="1"/>
  <c r="S543" i="1"/>
  <c r="R543" i="1"/>
  <c r="Q543" i="1"/>
  <c r="P543" i="1"/>
  <c r="O543" i="1"/>
  <c r="V542" i="1"/>
  <c r="U542" i="1"/>
  <c r="T542" i="1"/>
  <c r="S542" i="1"/>
  <c r="R542" i="1"/>
  <c r="Q542" i="1"/>
  <c r="P542" i="1"/>
  <c r="O542" i="1"/>
  <c r="V541" i="1"/>
  <c r="U541" i="1"/>
  <c r="T541" i="1"/>
  <c r="S541" i="1"/>
  <c r="R541" i="1"/>
  <c r="Q541" i="1"/>
  <c r="P541" i="1"/>
  <c r="O541" i="1"/>
  <c r="V540" i="1"/>
  <c r="U540" i="1"/>
  <c r="T540" i="1"/>
  <c r="S540" i="1"/>
  <c r="R540" i="1"/>
  <c r="Q540" i="1"/>
  <c r="P540" i="1"/>
  <c r="O540" i="1"/>
  <c r="V539" i="1"/>
  <c r="U539" i="1"/>
  <c r="T539" i="1"/>
  <c r="S539" i="1"/>
  <c r="R539" i="1"/>
  <c r="Q539" i="1"/>
  <c r="P539" i="1"/>
  <c r="O539" i="1"/>
  <c r="V538" i="1"/>
  <c r="U538" i="1"/>
  <c r="T538" i="1"/>
  <c r="S538" i="1"/>
  <c r="R538" i="1"/>
  <c r="Q538" i="1"/>
  <c r="P538" i="1"/>
  <c r="O538" i="1"/>
  <c r="V537" i="1"/>
  <c r="U537" i="1"/>
  <c r="T537" i="1"/>
  <c r="S537" i="1"/>
  <c r="R537" i="1"/>
  <c r="Q537" i="1"/>
  <c r="P537" i="1"/>
  <c r="O537" i="1"/>
  <c r="V536" i="1"/>
  <c r="U536" i="1"/>
  <c r="T536" i="1"/>
  <c r="S536" i="1"/>
  <c r="R536" i="1"/>
  <c r="Q536" i="1"/>
  <c r="P536" i="1"/>
  <c r="O536" i="1"/>
  <c r="V535" i="1"/>
  <c r="U535" i="1"/>
  <c r="T535" i="1"/>
  <c r="S535" i="1"/>
  <c r="R535" i="1"/>
  <c r="Q535" i="1"/>
  <c r="P535" i="1"/>
  <c r="O535" i="1"/>
  <c r="V534" i="1"/>
  <c r="U534" i="1"/>
  <c r="T534" i="1"/>
  <c r="S534" i="1"/>
  <c r="R534" i="1"/>
  <c r="Q534" i="1"/>
  <c r="P534" i="1"/>
  <c r="O534" i="1"/>
  <c r="V533" i="1"/>
  <c r="U533" i="1"/>
  <c r="T533" i="1"/>
  <c r="S533" i="1"/>
  <c r="R533" i="1"/>
  <c r="Q533" i="1"/>
  <c r="P533" i="1"/>
  <c r="O533" i="1"/>
  <c r="V532" i="1"/>
  <c r="U532" i="1"/>
  <c r="T532" i="1"/>
  <c r="S532" i="1"/>
  <c r="R532" i="1"/>
  <c r="Q532" i="1"/>
  <c r="P532" i="1"/>
  <c r="O532" i="1"/>
  <c r="V531" i="1"/>
  <c r="U531" i="1"/>
  <c r="T531" i="1"/>
  <c r="S531" i="1"/>
  <c r="R531" i="1"/>
  <c r="Q531" i="1"/>
  <c r="P531" i="1"/>
  <c r="O531" i="1"/>
  <c r="V530" i="1"/>
  <c r="U530" i="1"/>
  <c r="T530" i="1"/>
  <c r="S530" i="1"/>
  <c r="R530" i="1"/>
  <c r="Q530" i="1"/>
  <c r="P530" i="1"/>
  <c r="O530" i="1"/>
  <c r="V529" i="1"/>
  <c r="U529" i="1"/>
  <c r="T529" i="1"/>
  <c r="S529" i="1"/>
  <c r="R529" i="1"/>
  <c r="Q529" i="1"/>
  <c r="P529" i="1"/>
  <c r="O529" i="1"/>
  <c r="V528" i="1"/>
  <c r="U528" i="1"/>
  <c r="T528" i="1"/>
  <c r="S528" i="1"/>
  <c r="R528" i="1"/>
  <c r="Q528" i="1"/>
  <c r="P528" i="1"/>
  <c r="O528" i="1"/>
  <c r="V527" i="1"/>
  <c r="U527" i="1"/>
  <c r="T527" i="1"/>
  <c r="S527" i="1"/>
  <c r="R527" i="1"/>
  <c r="Q527" i="1"/>
  <c r="P527" i="1"/>
  <c r="O527" i="1"/>
  <c r="V526" i="1"/>
  <c r="U526" i="1"/>
  <c r="T526" i="1"/>
  <c r="S526" i="1"/>
  <c r="R526" i="1"/>
  <c r="Q526" i="1"/>
  <c r="P526" i="1"/>
  <c r="O526" i="1"/>
  <c r="V525" i="1"/>
  <c r="U525" i="1"/>
  <c r="T525" i="1"/>
  <c r="S525" i="1"/>
  <c r="R525" i="1"/>
  <c r="Q525" i="1"/>
  <c r="P525" i="1"/>
  <c r="O525" i="1"/>
  <c r="V524" i="1"/>
  <c r="U524" i="1"/>
  <c r="T524" i="1"/>
  <c r="S524" i="1"/>
  <c r="R524" i="1"/>
  <c r="Q524" i="1"/>
  <c r="P524" i="1"/>
  <c r="O524" i="1"/>
  <c r="V523" i="1"/>
  <c r="U523" i="1"/>
  <c r="T523" i="1"/>
  <c r="S523" i="1"/>
  <c r="R523" i="1"/>
  <c r="Q523" i="1"/>
  <c r="P523" i="1"/>
  <c r="O523" i="1"/>
  <c r="V522" i="1"/>
  <c r="U522" i="1"/>
  <c r="T522" i="1"/>
  <c r="S522" i="1"/>
  <c r="R522" i="1"/>
  <c r="Q522" i="1"/>
  <c r="P522" i="1"/>
  <c r="O522" i="1"/>
  <c r="V521" i="1"/>
  <c r="U521" i="1"/>
  <c r="T521" i="1"/>
  <c r="S521" i="1"/>
  <c r="R521" i="1"/>
  <c r="Q521" i="1"/>
  <c r="P521" i="1"/>
  <c r="O521" i="1"/>
  <c r="V520" i="1"/>
  <c r="U520" i="1"/>
  <c r="T520" i="1"/>
  <c r="S520" i="1"/>
  <c r="R520" i="1"/>
  <c r="Q520" i="1"/>
  <c r="P520" i="1"/>
  <c r="O520" i="1"/>
  <c r="V519" i="1"/>
  <c r="U519" i="1"/>
  <c r="T519" i="1"/>
  <c r="S519" i="1"/>
  <c r="R519" i="1"/>
  <c r="Q519" i="1"/>
  <c r="P519" i="1"/>
  <c r="O519" i="1"/>
  <c r="V518" i="1"/>
  <c r="U518" i="1"/>
  <c r="T518" i="1"/>
  <c r="S518" i="1"/>
  <c r="R518" i="1"/>
  <c r="Q518" i="1"/>
  <c r="P518" i="1"/>
  <c r="O518" i="1"/>
  <c r="V517" i="1"/>
  <c r="U517" i="1"/>
  <c r="T517" i="1"/>
  <c r="S517" i="1"/>
  <c r="R517" i="1"/>
  <c r="Q517" i="1"/>
  <c r="P517" i="1"/>
  <c r="O517" i="1"/>
  <c r="V516" i="1"/>
  <c r="U516" i="1"/>
  <c r="T516" i="1"/>
  <c r="S516" i="1"/>
  <c r="R516" i="1"/>
  <c r="Q516" i="1"/>
  <c r="P516" i="1"/>
  <c r="O516" i="1"/>
  <c r="V515" i="1"/>
  <c r="U515" i="1"/>
  <c r="T515" i="1"/>
  <c r="S515" i="1"/>
  <c r="R515" i="1"/>
  <c r="Q515" i="1"/>
  <c r="P515" i="1"/>
  <c r="O515" i="1"/>
  <c r="V514" i="1"/>
  <c r="U514" i="1"/>
  <c r="T514" i="1"/>
  <c r="S514" i="1"/>
  <c r="R514" i="1"/>
  <c r="Q514" i="1"/>
  <c r="P514" i="1"/>
  <c r="O514" i="1"/>
  <c r="V513" i="1"/>
  <c r="U513" i="1"/>
  <c r="T513" i="1"/>
  <c r="S513" i="1"/>
  <c r="R513" i="1"/>
  <c r="Q513" i="1"/>
  <c r="P513" i="1"/>
  <c r="O513" i="1"/>
  <c r="V512" i="1"/>
  <c r="U512" i="1"/>
  <c r="T512" i="1"/>
  <c r="S512" i="1"/>
  <c r="R512" i="1"/>
  <c r="Q512" i="1"/>
  <c r="P512" i="1"/>
  <c r="O512" i="1"/>
  <c r="V511" i="1"/>
  <c r="U511" i="1"/>
  <c r="T511" i="1"/>
  <c r="S511" i="1"/>
  <c r="R511" i="1"/>
  <c r="Q511" i="1"/>
  <c r="P511" i="1"/>
  <c r="O511" i="1"/>
  <c r="V510" i="1"/>
  <c r="U510" i="1"/>
  <c r="T510" i="1"/>
  <c r="S510" i="1"/>
  <c r="R510" i="1"/>
  <c r="Q510" i="1"/>
  <c r="P510" i="1"/>
  <c r="O510" i="1"/>
  <c r="V509" i="1"/>
  <c r="U509" i="1"/>
  <c r="T509" i="1"/>
  <c r="S509" i="1"/>
  <c r="R509" i="1"/>
  <c r="Q509" i="1"/>
  <c r="P509" i="1"/>
  <c r="O509" i="1"/>
  <c r="V508" i="1"/>
  <c r="U508" i="1"/>
  <c r="T508" i="1"/>
  <c r="S508" i="1"/>
  <c r="R508" i="1"/>
  <c r="Q508" i="1"/>
  <c r="P508" i="1"/>
  <c r="O508" i="1"/>
  <c r="V507" i="1"/>
  <c r="U507" i="1"/>
  <c r="T507" i="1"/>
  <c r="S507" i="1"/>
  <c r="R507" i="1"/>
  <c r="Q507" i="1"/>
  <c r="P507" i="1"/>
  <c r="O507" i="1"/>
  <c r="V506" i="1"/>
  <c r="U506" i="1"/>
  <c r="T506" i="1"/>
  <c r="S506" i="1"/>
  <c r="R506" i="1"/>
  <c r="Q506" i="1"/>
  <c r="P506" i="1"/>
  <c r="O506" i="1"/>
  <c r="V505" i="1"/>
  <c r="U505" i="1"/>
  <c r="T505" i="1"/>
  <c r="S505" i="1"/>
  <c r="R505" i="1"/>
  <c r="Q505" i="1"/>
  <c r="P505" i="1"/>
  <c r="O505" i="1"/>
  <c r="V504" i="1"/>
  <c r="U504" i="1"/>
  <c r="T504" i="1"/>
  <c r="S504" i="1"/>
  <c r="R504" i="1"/>
  <c r="Q504" i="1"/>
  <c r="P504" i="1"/>
  <c r="O504" i="1"/>
  <c r="V503" i="1"/>
  <c r="U503" i="1"/>
  <c r="T503" i="1"/>
  <c r="S503" i="1"/>
  <c r="R503" i="1"/>
  <c r="Q503" i="1"/>
  <c r="P503" i="1"/>
  <c r="O503" i="1"/>
  <c r="V502" i="1"/>
  <c r="U502" i="1"/>
  <c r="T502" i="1"/>
  <c r="S502" i="1"/>
  <c r="R502" i="1"/>
  <c r="Q502" i="1"/>
  <c r="P502" i="1"/>
  <c r="O502" i="1"/>
  <c r="V501" i="1"/>
  <c r="U501" i="1"/>
  <c r="T501" i="1"/>
  <c r="S501" i="1"/>
  <c r="R501" i="1"/>
  <c r="Q501" i="1"/>
  <c r="P501" i="1"/>
  <c r="O501" i="1"/>
  <c r="V500" i="1"/>
  <c r="U500" i="1"/>
  <c r="T500" i="1"/>
  <c r="S500" i="1"/>
  <c r="R500" i="1"/>
  <c r="Q500" i="1"/>
  <c r="P500" i="1"/>
  <c r="O500" i="1"/>
  <c r="V499" i="1"/>
  <c r="U499" i="1"/>
  <c r="T499" i="1"/>
  <c r="S499" i="1"/>
  <c r="R499" i="1"/>
  <c r="Q499" i="1"/>
  <c r="P499" i="1"/>
  <c r="O499" i="1"/>
  <c r="V498" i="1"/>
  <c r="U498" i="1"/>
  <c r="T498" i="1"/>
  <c r="S498" i="1"/>
  <c r="R498" i="1"/>
  <c r="Q498" i="1"/>
  <c r="P498" i="1"/>
  <c r="O498" i="1"/>
  <c r="V497" i="1"/>
  <c r="U497" i="1"/>
  <c r="T497" i="1"/>
  <c r="S497" i="1"/>
  <c r="R497" i="1"/>
  <c r="Q497" i="1"/>
  <c r="P497" i="1"/>
  <c r="O497" i="1"/>
  <c r="V496" i="1"/>
  <c r="U496" i="1"/>
  <c r="T496" i="1"/>
  <c r="S496" i="1"/>
  <c r="R496" i="1"/>
  <c r="Q496" i="1"/>
  <c r="P496" i="1"/>
  <c r="O496" i="1"/>
  <c r="V495" i="1"/>
  <c r="U495" i="1"/>
  <c r="T495" i="1"/>
  <c r="S495" i="1"/>
  <c r="R495" i="1"/>
  <c r="Q495" i="1"/>
  <c r="P495" i="1"/>
  <c r="O495" i="1"/>
  <c r="V494" i="1"/>
  <c r="U494" i="1"/>
  <c r="T494" i="1"/>
  <c r="S494" i="1"/>
  <c r="R494" i="1"/>
  <c r="Q494" i="1"/>
  <c r="P494" i="1"/>
  <c r="O494" i="1"/>
  <c r="V493" i="1"/>
  <c r="U493" i="1"/>
  <c r="T493" i="1"/>
  <c r="S493" i="1"/>
  <c r="R493" i="1"/>
  <c r="Q493" i="1"/>
  <c r="P493" i="1"/>
  <c r="O493" i="1"/>
  <c r="V492" i="1"/>
  <c r="U492" i="1"/>
  <c r="T492" i="1"/>
  <c r="S492" i="1"/>
  <c r="R492" i="1"/>
  <c r="Q492" i="1"/>
  <c r="P492" i="1"/>
  <c r="O492" i="1"/>
  <c r="V491" i="1"/>
  <c r="U491" i="1"/>
  <c r="T491" i="1"/>
  <c r="S491" i="1"/>
  <c r="R491" i="1"/>
  <c r="Q491" i="1"/>
  <c r="P491" i="1"/>
  <c r="O491" i="1"/>
  <c r="V490" i="1"/>
  <c r="U490" i="1"/>
  <c r="T490" i="1"/>
  <c r="S490" i="1"/>
  <c r="R490" i="1"/>
  <c r="Q490" i="1"/>
  <c r="P490" i="1"/>
  <c r="O490" i="1"/>
  <c r="V489" i="1"/>
  <c r="U489" i="1"/>
  <c r="T489" i="1"/>
  <c r="S489" i="1"/>
  <c r="R489" i="1"/>
  <c r="Q489" i="1"/>
  <c r="P489" i="1"/>
  <c r="O489" i="1"/>
  <c r="V488" i="1"/>
  <c r="U488" i="1"/>
  <c r="T488" i="1"/>
  <c r="S488" i="1"/>
  <c r="R488" i="1"/>
  <c r="Q488" i="1"/>
  <c r="P488" i="1"/>
  <c r="O488" i="1"/>
  <c r="V487" i="1"/>
  <c r="U487" i="1"/>
  <c r="T487" i="1"/>
  <c r="S487" i="1"/>
  <c r="R487" i="1"/>
  <c r="Q487" i="1"/>
  <c r="P487" i="1"/>
  <c r="O487" i="1"/>
  <c r="V486" i="1"/>
  <c r="U486" i="1"/>
  <c r="T486" i="1"/>
  <c r="S486" i="1"/>
  <c r="R486" i="1"/>
  <c r="Q486" i="1"/>
  <c r="P486" i="1"/>
  <c r="O486" i="1"/>
  <c r="V485" i="1"/>
  <c r="U485" i="1"/>
  <c r="T485" i="1"/>
  <c r="S485" i="1"/>
  <c r="R485" i="1"/>
  <c r="Q485" i="1"/>
  <c r="P485" i="1"/>
  <c r="O485" i="1"/>
  <c r="V484" i="1"/>
  <c r="U484" i="1"/>
  <c r="T484" i="1"/>
  <c r="S484" i="1"/>
  <c r="R484" i="1"/>
  <c r="Q484" i="1"/>
  <c r="P484" i="1"/>
  <c r="O484" i="1"/>
  <c r="V483" i="1"/>
  <c r="U483" i="1"/>
  <c r="T483" i="1"/>
  <c r="S483" i="1"/>
  <c r="R483" i="1"/>
  <c r="Q483" i="1"/>
  <c r="P483" i="1"/>
  <c r="O483" i="1"/>
  <c r="V482" i="1"/>
  <c r="U482" i="1"/>
  <c r="T482" i="1"/>
  <c r="S482" i="1"/>
  <c r="R482" i="1"/>
  <c r="Q482" i="1"/>
  <c r="P482" i="1"/>
  <c r="O482" i="1"/>
  <c r="V481" i="1"/>
  <c r="U481" i="1"/>
  <c r="T481" i="1"/>
  <c r="S481" i="1"/>
  <c r="R481" i="1"/>
  <c r="Q481" i="1"/>
  <c r="P481" i="1"/>
  <c r="O481" i="1"/>
  <c r="V480" i="1"/>
  <c r="U480" i="1"/>
  <c r="T480" i="1"/>
  <c r="S480" i="1"/>
  <c r="R480" i="1"/>
  <c r="Q480" i="1"/>
  <c r="P480" i="1"/>
  <c r="O480" i="1"/>
  <c r="V479" i="1"/>
  <c r="U479" i="1"/>
  <c r="T479" i="1"/>
  <c r="S479" i="1"/>
  <c r="R479" i="1"/>
  <c r="Q479" i="1"/>
  <c r="P479" i="1"/>
  <c r="O479" i="1"/>
  <c r="V478" i="1"/>
  <c r="U478" i="1"/>
  <c r="T478" i="1"/>
  <c r="S478" i="1"/>
  <c r="R478" i="1"/>
  <c r="Q478" i="1"/>
  <c r="P478" i="1"/>
  <c r="O478" i="1"/>
  <c r="V477" i="1"/>
  <c r="U477" i="1"/>
  <c r="T477" i="1"/>
  <c r="S477" i="1"/>
  <c r="R477" i="1"/>
  <c r="Q477" i="1"/>
  <c r="P477" i="1"/>
  <c r="O477" i="1"/>
  <c r="V476" i="1"/>
  <c r="U476" i="1"/>
  <c r="T476" i="1"/>
  <c r="S476" i="1"/>
  <c r="R476" i="1"/>
  <c r="Q476" i="1"/>
  <c r="P476" i="1"/>
  <c r="O476" i="1"/>
  <c r="V475" i="1"/>
  <c r="U475" i="1"/>
  <c r="T475" i="1"/>
  <c r="S475" i="1"/>
  <c r="R475" i="1"/>
  <c r="Q475" i="1"/>
  <c r="P475" i="1"/>
  <c r="O475" i="1"/>
  <c r="V474" i="1"/>
  <c r="U474" i="1"/>
  <c r="T474" i="1"/>
  <c r="S474" i="1"/>
  <c r="R474" i="1"/>
  <c r="Q474" i="1"/>
  <c r="P474" i="1"/>
  <c r="O474" i="1"/>
  <c r="V473" i="1"/>
  <c r="U473" i="1"/>
  <c r="T473" i="1"/>
  <c r="S473" i="1"/>
  <c r="R473" i="1"/>
  <c r="Q473" i="1"/>
  <c r="P473" i="1"/>
  <c r="O473" i="1"/>
  <c r="V472" i="1"/>
  <c r="U472" i="1"/>
  <c r="T472" i="1"/>
  <c r="S472" i="1"/>
  <c r="R472" i="1"/>
  <c r="Q472" i="1"/>
  <c r="P472" i="1"/>
  <c r="O472" i="1"/>
  <c r="V471" i="1"/>
  <c r="U471" i="1"/>
  <c r="T471" i="1"/>
  <c r="S471" i="1"/>
  <c r="R471" i="1"/>
  <c r="Q471" i="1"/>
  <c r="P471" i="1"/>
  <c r="O471" i="1"/>
  <c r="V470" i="1"/>
  <c r="U470" i="1"/>
  <c r="T470" i="1"/>
  <c r="S470" i="1"/>
  <c r="R470" i="1"/>
  <c r="Q470" i="1"/>
  <c r="P470" i="1"/>
  <c r="O470" i="1"/>
  <c r="V469" i="1"/>
  <c r="U469" i="1"/>
  <c r="T469" i="1"/>
  <c r="S469" i="1"/>
  <c r="R469" i="1"/>
  <c r="Q469" i="1"/>
  <c r="P469" i="1"/>
  <c r="O469" i="1"/>
  <c r="V468" i="1"/>
  <c r="U468" i="1"/>
  <c r="T468" i="1"/>
  <c r="S468" i="1"/>
  <c r="R468" i="1"/>
  <c r="Q468" i="1"/>
  <c r="P468" i="1"/>
  <c r="O468" i="1"/>
  <c r="V467" i="1"/>
  <c r="U467" i="1"/>
  <c r="T467" i="1"/>
  <c r="S467" i="1"/>
  <c r="R467" i="1"/>
  <c r="Q467" i="1"/>
  <c r="P467" i="1"/>
  <c r="O467" i="1"/>
  <c r="V466" i="1"/>
  <c r="U466" i="1"/>
  <c r="T466" i="1"/>
  <c r="S466" i="1"/>
  <c r="R466" i="1"/>
  <c r="Q466" i="1"/>
  <c r="P466" i="1"/>
  <c r="O466" i="1"/>
  <c r="V465" i="1"/>
  <c r="U465" i="1"/>
  <c r="T465" i="1"/>
  <c r="S465" i="1"/>
  <c r="R465" i="1"/>
  <c r="Q465" i="1"/>
  <c r="P465" i="1"/>
  <c r="O465" i="1"/>
  <c r="V464" i="1"/>
  <c r="U464" i="1"/>
  <c r="T464" i="1"/>
  <c r="S464" i="1"/>
  <c r="R464" i="1"/>
  <c r="Q464" i="1"/>
  <c r="P464" i="1"/>
  <c r="O464" i="1"/>
  <c r="V463" i="1"/>
  <c r="U463" i="1"/>
  <c r="T463" i="1"/>
  <c r="S463" i="1"/>
  <c r="R463" i="1"/>
  <c r="Q463" i="1"/>
  <c r="P463" i="1"/>
  <c r="O463" i="1"/>
  <c r="V462" i="1"/>
  <c r="U462" i="1"/>
  <c r="T462" i="1"/>
  <c r="S462" i="1"/>
  <c r="R462" i="1"/>
  <c r="Q462" i="1"/>
  <c r="P462" i="1"/>
  <c r="O462" i="1"/>
  <c r="V461" i="1"/>
  <c r="U461" i="1"/>
  <c r="T461" i="1"/>
  <c r="S461" i="1"/>
  <c r="R461" i="1"/>
  <c r="Q461" i="1"/>
  <c r="P461" i="1"/>
  <c r="O461" i="1"/>
  <c r="V460" i="1"/>
  <c r="U460" i="1"/>
  <c r="T460" i="1"/>
  <c r="S460" i="1"/>
  <c r="R460" i="1"/>
  <c r="Q460" i="1"/>
  <c r="P460" i="1"/>
  <c r="O460" i="1"/>
  <c r="V459" i="1"/>
  <c r="U459" i="1"/>
  <c r="T459" i="1"/>
  <c r="S459" i="1"/>
  <c r="R459" i="1"/>
  <c r="Q459" i="1"/>
  <c r="P459" i="1"/>
  <c r="O459" i="1"/>
  <c r="V458" i="1"/>
  <c r="U458" i="1"/>
  <c r="T458" i="1"/>
  <c r="S458" i="1"/>
  <c r="R458" i="1"/>
  <c r="Q458" i="1"/>
  <c r="P458" i="1"/>
  <c r="O458" i="1"/>
  <c r="V457" i="1"/>
  <c r="U457" i="1"/>
  <c r="T457" i="1"/>
  <c r="S457" i="1"/>
  <c r="R457" i="1"/>
  <c r="Q457" i="1"/>
  <c r="P457" i="1"/>
  <c r="O457" i="1"/>
  <c r="V456" i="1"/>
  <c r="U456" i="1"/>
  <c r="T456" i="1"/>
  <c r="S456" i="1"/>
  <c r="R456" i="1"/>
  <c r="Q456" i="1"/>
  <c r="P456" i="1"/>
  <c r="O456" i="1"/>
  <c r="V455" i="1"/>
  <c r="U455" i="1"/>
  <c r="T455" i="1"/>
  <c r="S455" i="1"/>
  <c r="R455" i="1"/>
  <c r="Q455" i="1"/>
  <c r="P455" i="1"/>
  <c r="O455" i="1"/>
  <c r="V454" i="1"/>
  <c r="U454" i="1"/>
  <c r="T454" i="1"/>
  <c r="S454" i="1"/>
  <c r="R454" i="1"/>
  <c r="Q454" i="1"/>
  <c r="P454" i="1"/>
  <c r="O454" i="1"/>
  <c r="V453" i="1"/>
  <c r="U453" i="1"/>
  <c r="T453" i="1"/>
  <c r="S453" i="1"/>
  <c r="R453" i="1"/>
  <c r="Q453" i="1"/>
  <c r="P453" i="1"/>
  <c r="O453" i="1"/>
  <c r="V452" i="1"/>
  <c r="U452" i="1"/>
  <c r="T452" i="1"/>
  <c r="S452" i="1"/>
  <c r="R452" i="1"/>
  <c r="Q452" i="1"/>
  <c r="P452" i="1"/>
  <c r="O452" i="1"/>
  <c r="V451" i="1"/>
  <c r="U451" i="1"/>
  <c r="T451" i="1"/>
  <c r="S451" i="1"/>
  <c r="R451" i="1"/>
  <c r="Q451" i="1"/>
  <c r="P451" i="1"/>
  <c r="O451" i="1"/>
  <c r="V450" i="1"/>
  <c r="U450" i="1"/>
  <c r="T450" i="1"/>
  <c r="S450" i="1"/>
  <c r="R450" i="1"/>
  <c r="Q450" i="1"/>
  <c r="P450" i="1"/>
  <c r="O450" i="1"/>
  <c r="V449" i="1"/>
  <c r="U449" i="1"/>
  <c r="T449" i="1"/>
  <c r="S449" i="1"/>
  <c r="R449" i="1"/>
  <c r="Q449" i="1"/>
  <c r="P449" i="1"/>
  <c r="O449" i="1"/>
  <c r="V448" i="1"/>
  <c r="U448" i="1"/>
  <c r="T448" i="1"/>
  <c r="S448" i="1"/>
  <c r="R448" i="1"/>
  <c r="Q448" i="1"/>
  <c r="P448" i="1"/>
  <c r="O448" i="1"/>
  <c r="V447" i="1"/>
  <c r="U447" i="1"/>
  <c r="T447" i="1"/>
  <c r="S447" i="1"/>
  <c r="R447" i="1"/>
  <c r="Q447" i="1"/>
  <c r="P447" i="1"/>
  <c r="O447" i="1"/>
  <c r="V446" i="1"/>
  <c r="U446" i="1"/>
  <c r="T446" i="1"/>
  <c r="S446" i="1"/>
  <c r="R446" i="1"/>
  <c r="Q446" i="1"/>
  <c r="P446" i="1"/>
  <c r="O446" i="1"/>
  <c r="V445" i="1"/>
  <c r="U445" i="1"/>
  <c r="T445" i="1"/>
  <c r="S445" i="1"/>
  <c r="R445" i="1"/>
  <c r="Q445" i="1"/>
  <c r="P445" i="1"/>
  <c r="O445" i="1"/>
  <c r="V444" i="1"/>
  <c r="U444" i="1"/>
  <c r="T444" i="1"/>
  <c r="S444" i="1"/>
  <c r="R444" i="1"/>
  <c r="Q444" i="1"/>
  <c r="P444" i="1"/>
  <c r="O444" i="1"/>
  <c r="V443" i="1"/>
  <c r="U443" i="1"/>
  <c r="T443" i="1"/>
  <c r="S443" i="1"/>
  <c r="R443" i="1"/>
  <c r="Q443" i="1"/>
  <c r="P443" i="1"/>
  <c r="O443" i="1"/>
  <c r="V442" i="1"/>
  <c r="U442" i="1"/>
  <c r="T442" i="1"/>
  <c r="S442" i="1"/>
  <c r="R442" i="1"/>
  <c r="Q442" i="1"/>
  <c r="P442" i="1"/>
  <c r="O442" i="1"/>
  <c r="V441" i="1"/>
  <c r="U441" i="1"/>
  <c r="T441" i="1"/>
  <c r="S441" i="1"/>
  <c r="R441" i="1"/>
  <c r="Q441" i="1"/>
  <c r="P441" i="1"/>
  <c r="O441" i="1"/>
  <c r="V440" i="1"/>
  <c r="U440" i="1"/>
  <c r="T440" i="1"/>
  <c r="S440" i="1"/>
  <c r="R440" i="1"/>
  <c r="Q440" i="1"/>
  <c r="P440" i="1"/>
  <c r="O440" i="1"/>
  <c r="V439" i="1"/>
  <c r="U439" i="1"/>
  <c r="T439" i="1"/>
  <c r="S439" i="1"/>
  <c r="R439" i="1"/>
  <c r="Q439" i="1"/>
  <c r="P439" i="1"/>
  <c r="O439" i="1"/>
  <c r="V438" i="1"/>
  <c r="U438" i="1"/>
  <c r="T438" i="1"/>
  <c r="S438" i="1"/>
  <c r="R438" i="1"/>
  <c r="Q438" i="1"/>
  <c r="P438" i="1"/>
  <c r="O438" i="1"/>
  <c r="V437" i="1"/>
  <c r="U437" i="1"/>
  <c r="T437" i="1"/>
  <c r="S437" i="1"/>
  <c r="R437" i="1"/>
  <c r="Q437" i="1"/>
  <c r="P437" i="1"/>
  <c r="O437" i="1"/>
  <c r="V436" i="1"/>
  <c r="U436" i="1"/>
  <c r="T436" i="1"/>
  <c r="S436" i="1"/>
  <c r="R436" i="1"/>
  <c r="Q436" i="1"/>
  <c r="P436" i="1"/>
  <c r="O436" i="1"/>
  <c r="V435" i="1"/>
  <c r="U435" i="1"/>
  <c r="T435" i="1"/>
  <c r="S435" i="1"/>
  <c r="R435" i="1"/>
  <c r="Q435" i="1"/>
  <c r="P435" i="1"/>
  <c r="O435" i="1"/>
  <c r="V434" i="1"/>
  <c r="U434" i="1"/>
  <c r="T434" i="1"/>
  <c r="S434" i="1"/>
  <c r="R434" i="1"/>
  <c r="Q434" i="1"/>
  <c r="P434" i="1"/>
  <c r="O434" i="1"/>
  <c r="V433" i="1"/>
  <c r="U433" i="1"/>
  <c r="T433" i="1"/>
  <c r="S433" i="1"/>
  <c r="R433" i="1"/>
  <c r="Q433" i="1"/>
  <c r="P433" i="1"/>
  <c r="O433" i="1"/>
  <c r="V432" i="1"/>
  <c r="U432" i="1"/>
  <c r="T432" i="1"/>
  <c r="S432" i="1"/>
  <c r="R432" i="1"/>
  <c r="Q432" i="1"/>
  <c r="P432" i="1"/>
  <c r="O432" i="1"/>
  <c r="V431" i="1"/>
  <c r="U431" i="1"/>
  <c r="T431" i="1"/>
  <c r="S431" i="1"/>
  <c r="R431" i="1"/>
  <c r="Q431" i="1"/>
  <c r="P431" i="1"/>
  <c r="O431" i="1"/>
  <c r="V430" i="1"/>
  <c r="U430" i="1"/>
  <c r="T430" i="1"/>
  <c r="S430" i="1"/>
  <c r="R430" i="1"/>
  <c r="Q430" i="1"/>
  <c r="P430" i="1"/>
  <c r="O430" i="1"/>
  <c r="V429" i="1"/>
  <c r="U429" i="1"/>
  <c r="T429" i="1"/>
  <c r="S429" i="1"/>
  <c r="R429" i="1"/>
  <c r="Q429" i="1"/>
  <c r="P429" i="1"/>
  <c r="O429" i="1"/>
  <c r="V428" i="1"/>
  <c r="U428" i="1"/>
  <c r="T428" i="1"/>
  <c r="S428" i="1"/>
  <c r="R428" i="1"/>
  <c r="Q428" i="1"/>
  <c r="P428" i="1"/>
  <c r="O428" i="1"/>
  <c r="V427" i="1"/>
  <c r="U427" i="1"/>
  <c r="T427" i="1"/>
  <c r="S427" i="1"/>
  <c r="R427" i="1"/>
  <c r="Q427" i="1"/>
  <c r="P427" i="1"/>
  <c r="O427" i="1"/>
  <c r="V426" i="1"/>
  <c r="U426" i="1"/>
  <c r="T426" i="1"/>
  <c r="S426" i="1"/>
  <c r="R426" i="1"/>
  <c r="Q426" i="1"/>
  <c r="P426" i="1"/>
  <c r="O426" i="1"/>
  <c r="V425" i="1"/>
  <c r="U425" i="1"/>
  <c r="T425" i="1"/>
  <c r="S425" i="1"/>
  <c r="R425" i="1"/>
  <c r="Q425" i="1"/>
  <c r="P425" i="1"/>
  <c r="O425" i="1"/>
  <c r="V424" i="1"/>
  <c r="U424" i="1"/>
  <c r="T424" i="1"/>
  <c r="S424" i="1"/>
  <c r="R424" i="1"/>
  <c r="Q424" i="1"/>
  <c r="P424" i="1"/>
  <c r="O424" i="1"/>
  <c r="V423" i="1"/>
  <c r="U423" i="1"/>
  <c r="T423" i="1"/>
  <c r="S423" i="1"/>
  <c r="R423" i="1"/>
  <c r="Q423" i="1"/>
  <c r="P423" i="1"/>
  <c r="O423" i="1"/>
  <c r="V422" i="1"/>
  <c r="U422" i="1"/>
  <c r="T422" i="1"/>
  <c r="S422" i="1"/>
  <c r="R422" i="1"/>
  <c r="Q422" i="1"/>
  <c r="P422" i="1"/>
  <c r="O422" i="1"/>
  <c r="V421" i="1"/>
  <c r="U421" i="1"/>
  <c r="T421" i="1"/>
  <c r="S421" i="1"/>
  <c r="R421" i="1"/>
  <c r="Q421" i="1"/>
  <c r="P421" i="1"/>
  <c r="O421" i="1"/>
  <c r="V420" i="1"/>
  <c r="U420" i="1"/>
  <c r="T420" i="1"/>
  <c r="S420" i="1"/>
  <c r="R420" i="1"/>
  <c r="Q420" i="1"/>
  <c r="P420" i="1"/>
  <c r="O420" i="1"/>
  <c r="V419" i="1"/>
  <c r="U419" i="1"/>
  <c r="T419" i="1"/>
  <c r="S419" i="1"/>
  <c r="R419" i="1"/>
  <c r="Q419" i="1"/>
  <c r="P419" i="1"/>
  <c r="O419" i="1"/>
  <c r="V418" i="1"/>
  <c r="U418" i="1"/>
  <c r="T418" i="1"/>
  <c r="S418" i="1"/>
  <c r="R418" i="1"/>
  <c r="Q418" i="1"/>
  <c r="P418" i="1"/>
  <c r="O418" i="1"/>
  <c r="V417" i="1"/>
  <c r="U417" i="1"/>
  <c r="T417" i="1"/>
  <c r="S417" i="1"/>
  <c r="R417" i="1"/>
  <c r="Q417" i="1"/>
  <c r="P417" i="1"/>
  <c r="O417" i="1"/>
  <c r="V416" i="1"/>
  <c r="U416" i="1"/>
  <c r="T416" i="1"/>
  <c r="S416" i="1"/>
  <c r="R416" i="1"/>
  <c r="Q416" i="1"/>
  <c r="P416" i="1"/>
  <c r="O416" i="1"/>
  <c r="V415" i="1"/>
  <c r="U415" i="1"/>
  <c r="T415" i="1"/>
  <c r="S415" i="1"/>
  <c r="R415" i="1"/>
  <c r="Q415" i="1"/>
  <c r="P415" i="1"/>
  <c r="O415" i="1"/>
  <c r="V414" i="1"/>
  <c r="U414" i="1"/>
  <c r="T414" i="1"/>
  <c r="S414" i="1"/>
  <c r="R414" i="1"/>
  <c r="Q414" i="1"/>
  <c r="P414" i="1"/>
  <c r="O414" i="1"/>
  <c r="V413" i="1"/>
  <c r="U413" i="1"/>
  <c r="T413" i="1"/>
  <c r="S413" i="1"/>
  <c r="R413" i="1"/>
  <c r="Q413" i="1"/>
  <c r="P413" i="1"/>
  <c r="O413" i="1"/>
  <c r="V412" i="1"/>
  <c r="U412" i="1"/>
  <c r="T412" i="1"/>
  <c r="S412" i="1"/>
  <c r="R412" i="1"/>
  <c r="Q412" i="1"/>
  <c r="P412" i="1"/>
  <c r="O412" i="1"/>
  <c r="V411" i="1"/>
  <c r="U411" i="1"/>
  <c r="T411" i="1"/>
  <c r="S411" i="1"/>
  <c r="R411" i="1"/>
  <c r="Q411" i="1"/>
  <c r="P411" i="1"/>
  <c r="O411" i="1"/>
  <c r="V410" i="1"/>
  <c r="U410" i="1"/>
  <c r="T410" i="1"/>
  <c r="S410" i="1"/>
  <c r="R410" i="1"/>
  <c r="Q410" i="1"/>
  <c r="P410" i="1"/>
  <c r="O410" i="1"/>
  <c r="V409" i="1"/>
  <c r="U409" i="1"/>
  <c r="T409" i="1"/>
  <c r="S409" i="1"/>
  <c r="R409" i="1"/>
  <c r="Q409" i="1"/>
  <c r="P409" i="1"/>
  <c r="O409" i="1"/>
  <c r="V408" i="1"/>
  <c r="U408" i="1"/>
  <c r="T408" i="1"/>
  <c r="S408" i="1"/>
  <c r="R408" i="1"/>
  <c r="Q408" i="1"/>
  <c r="P408" i="1"/>
  <c r="O408" i="1"/>
  <c r="V407" i="1"/>
  <c r="U407" i="1"/>
  <c r="T407" i="1"/>
  <c r="S407" i="1"/>
  <c r="R407" i="1"/>
  <c r="Q407" i="1"/>
  <c r="P407" i="1"/>
  <c r="O407" i="1"/>
  <c r="V406" i="1"/>
  <c r="U406" i="1"/>
  <c r="T406" i="1"/>
  <c r="S406" i="1"/>
  <c r="R406" i="1"/>
  <c r="Q406" i="1"/>
  <c r="P406" i="1"/>
  <c r="O406" i="1"/>
  <c r="V405" i="1"/>
  <c r="U405" i="1"/>
  <c r="T405" i="1"/>
  <c r="S405" i="1"/>
  <c r="R405" i="1"/>
  <c r="Q405" i="1"/>
  <c r="P405" i="1"/>
  <c r="O405" i="1"/>
  <c r="V404" i="1"/>
  <c r="U404" i="1"/>
  <c r="T404" i="1"/>
  <c r="S404" i="1"/>
  <c r="R404" i="1"/>
  <c r="Q404" i="1"/>
  <c r="P404" i="1"/>
  <c r="O404" i="1"/>
  <c r="V403" i="1"/>
  <c r="U403" i="1"/>
  <c r="T403" i="1"/>
  <c r="S403" i="1"/>
  <c r="R403" i="1"/>
  <c r="Q403" i="1"/>
  <c r="P403" i="1"/>
  <c r="O403" i="1"/>
  <c r="V402" i="1"/>
  <c r="U402" i="1"/>
  <c r="T402" i="1"/>
  <c r="S402" i="1"/>
  <c r="R402" i="1"/>
  <c r="Q402" i="1"/>
  <c r="P402" i="1"/>
  <c r="O402" i="1"/>
  <c r="V401" i="1"/>
  <c r="U401" i="1"/>
  <c r="T401" i="1"/>
  <c r="S401" i="1"/>
  <c r="R401" i="1"/>
  <c r="Q401" i="1"/>
  <c r="P401" i="1"/>
  <c r="O401" i="1"/>
  <c r="V400" i="1"/>
  <c r="U400" i="1"/>
  <c r="T400" i="1"/>
  <c r="S400" i="1"/>
  <c r="R400" i="1"/>
  <c r="Q400" i="1"/>
  <c r="P400" i="1"/>
  <c r="O400" i="1"/>
  <c r="V399" i="1"/>
  <c r="U399" i="1"/>
  <c r="T399" i="1"/>
  <c r="S399" i="1"/>
  <c r="R399" i="1"/>
  <c r="Q399" i="1"/>
  <c r="P399" i="1"/>
  <c r="O399" i="1"/>
  <c r="V398" i="1"/>
  <c r="U398" i="1"/>
  <c r="T398" i="1"/>
  <c r="S398" i="1"/>
  <c r="R398" i="1"/>
  <c r="Q398" i="1"/>
  <c r="P398" i="1"/>
  <c r="O398" i="1"/>
  <c r="V397" i="1"/>
  <c r="U397" i="1"/>
  <c r="T397" i="1"/>
  <c r="S397" i="1"/>
  <c r="R397" i="1"/>
  <c r="Q397" i="1"/>
  <c r="P397" i="1"/>
  <c r="O397" i="1"/>
  <c r="V396" i="1"/>
  <c r="U396" i="1"/>
  <c r="T396" i="1"/>
  <c r="S396" i="1"/>
  <c r="R396" i="1"/>
  <c r="Q396" i="1"/>
  <c r="P396" i="1"/>
  <c r="O396" i="1"/>
  <c r="V395" i="1"/>
  <c r="U395" i="1"/>
  <c r="T395" i="1"/>
  <c r="S395" i="1"/>
  <c r="R395" i="1"/>
  <c r="Q395" i="1"/>
  <c r="P395" i="1"/>
  <c r="O395" i="1"/>
  <c r="V394" i="1"/>
  <c r="U394" i="1"/>
  <c r="T394" i="1"/>
  <c r="S394" i="1"/>
  <c r="R394" i="1"/>
  <c r="Q394" i="1"/>
  <c r="P394" i="1"/>
  <c r="O394" i="1"/>
  <c r="V393" i="1"/>
  <c r="U393" i="1"/>
  <c r="T393" i="1"/>
  <c r="S393" i="1"/>
  <c r="R393" i="1"/>
  <c r="Q393" i="1"/>
  <c r="P393" i="1"/>
  <c r="O393" i="1"/>
  <c r="V392" i="1"/>
  <c r="U392" i="1"/>
  <c r="T392" i="1"/>
  <c r="S392" i="1"/>
  <c r="R392" i="1"/>
  <c r="Q392" i="1"/>
  <c r="P392" i="1"/>
  <c r="O392" i="1"/>
  <c r="V391" i="1"/>
  <c r="U391" i="1"/>
  <c r="T391" i="1"/>
  <c r="S391" i="1"/>
  <c r="R391" i="1"/>
  <c r="Q391" i="1"/>
  <c r="P391" i="1"/>
  <c r="O391" i="1"/>
  <c r="V390" i="1"/>
  <c r="U390" i="1"/>
  <c r="T390" i="1"/>
  <c r="S390" i="1"/>
  <c r="R390" i="1"/>
  <c r="Q390" i="1"/>
  <c r="P390" i="1"/>
  <c r="O390" i="1"/>
  <c r="V389" i="1"/>
  <c r="U389" i="1"/>
  <c r="T389" i="1"/>
  <c r="S389" i="1"/>
  <c r="R389" i="1"/>
  <c r="Q389" i="1"/>
  <c r="P389" i="1"/>
  <c r="O389" i="1"/>
  <c r="V388" i="1"/>
  <c r="U388" i="1"/>
  <c r="T388" i="1"/>
  <c r="S388" i="1"/>
  <c r="R388" i="1"/>
  <c r="Q388" i="1"/>
  <c r="P388" i="1"/>
  <c r="O388" i="1"/>
  <c r="V387" i="1"/>
  <c r="U387" i="1"/>
  <c r="T387" i="1"/>
  <c r="S387" i="1"/>
  <c r="R387" i="1"/>
  <c r="Q387" i="1"/>
  <c r="P387" i="1"/>
  <c r="O387" i="1"/>
  <c r="V386" i="1"/>
  <c r="U386" i="1"/>
  <c r="T386" i="1"/>
  <c r="S386" i="1"/>
  <c r="R386" i="1"/>
  <c r="Q386" i="1"/>
  <c r="P386" i="1"/>
  <c r="O386" i="1"/>
  <c r="V385" i="1"/>
  <c r="U385" i="1"/>
  <c r="T385" i="1"/>
  <c r="S385" i="1"/>
  <c r="R385" i="1"/>
  <c r="Q385" i="1"/>
  <c r="P385" i="1"/>
  <c r="O385" i="1"/>
  <c r="V384" i="1"/>
  <c r="U384" i="1"/>
  <c r="T384" i="1"/>
  <c r="S384" i="1"/>
  <c r="R384" i="1"/>
  <c r="Q384" i="1"/>
  <c r="P384" i="1"/>
  <c r="O384" i="1"/>
  <c r="V383" i="1"/>
  <c r="U383" i="1"/>
  <c r="T383" i="1"/>
  <c r="S383" i="1"/>
  <c r="R383" i="1"/>
  <c r="Q383" i="1"/>
  <c r="P383" i="1"/>
  <c r="O383" i="1"/>
  <c r="V382" i="1"/>
  <c r="U382" i="1"/>
  <c r="T382" i="1"/>
  <c r="S382" i="1"/>
  <c r="R382" i="1"/>
  <c r="Q382" i="1"/>
  <c r="P382" i="1"/>
  <c r="O382" i="1"/>
  <c r="V381" i="1"/>
  <c r="U381" i="1"/>
  <c r="T381" i="1"/>
  <c r="S381" i="1"/>
  <c r="R381" i="1"/>
  <c r="Q381" i="1"/>
  <c r="P381" i="1"/>
  <c r="O381" i="1"/>
  <c r="V380" i="1"/>
  <c r="U380" i="1"/>
  <c r="T380" i="1"/>
  <c r="S380" i="1"/>
  <c r="R380" i="1"/>
  <c r="Q380" i="1"/>
  <c r="P380" i="1"/>
  <c r="O380" i="1"/>
  <c r="V379" i="1"/>
  <c r="U379" i="1"/>
  <c r="T379" i="1"/>
  <c r="S379" i="1"/>
  <c r="R379" i="1"/>
  <c r="Q379" i="1"/>
  <c r="P379" i="1"/>
  <c r="O379" i="1"/>
  <c r="V378" i="1"/>
  <c r="U378" i="1"/>
  <c r="T378" i="1"/>
  <c r="S378" i="1"/>
  <c r="R378" i="1"/>
  <c r="Q378" i="1"/>
  <c r="P378" i="1"/>
  <c r="O378" i="1"/>
  <c r="V377" i="1"/>
  <c r="U377" i="1"/>
  <c r="T377" i="1"/>
  <c r="S377" i="1"/>
  <c r="R377" i="1"/>
  <c r="Q377" i="1"/>
  <c r="P377" i="1"/>
  <c r="O377" i="1"/>
  <c r="V376" i="1"/>
  <c r="U376" i="1"/>
  <c r="T376" i="1"/>
  <c r="S376" i="1"/>
  <c r="R376" i="1"/>
  <c r="Q376" i="1"/>
  <c r="P376" i="1"/>
  <c r="O376" i="1"/>
  <c r="V375" i="1"/>
  <c r="U375" i="1"/>
  <c r="T375" i="1"/>
  <c r="S375" i="1"/>
  <c r="R375" i="1"/>
  <c r="Q375" i="1"/>
  <c r="P375" i="1"/>
  <c r="O375" i="1"/>
  <c r="V374" i="1"/>
  <c r="U374" i="1"/>
  <c r="T374" i="1"/>
  <c r="S374" i="1"/>
  <c r="R374" i="1"/>
  <c r="Q374" i="1"/>
  <c r="P374" i="1"/>
  <c r="O374" i="1"/>
  <c r="V373" i="1"/>
  <c r="U373" i="1"/>
  <c r="T373" i="1"/>
  <c r="S373" i="1"/>
  <c r="R373" i="1"/>
  <c r="Q373" i="1"/>
  <c r="P373" i="1"/>
  <c r="O373" i="1"/>
  <c r="V372" i="1"/>
  <c r="U372" i="1"/>
  <c r="T372" i="1"/>
  <c r="S372" i="1"/>
  <c r="R372" i="1"/>
  <c r="Q372" i="1"/>
  <c r="P372" i="1"/>
  <c r="O372" i="1"/>
  <c r="V371" i="1"/>
  <c r="U371" i="1"/>
  <c r="T371" i="1"/>
  <c r="S371" i="1"/>
  <c r="R371" i="1"/>
  <c r="Q371" i="1"/>
  <c r="P371" i="1"/>
  <c r="O371" i="1"/>
  <c r="V370" i="1"/>
  <c r="U370" i="1"/>
  <c r="T370" i="1"/>
  <c r="S370" i="1"/>
  <c r="R370" i="1"/>
  <c r="Q370" i="1"/>
  <c r="P370" i="1"/>
  <c r="O370" i="1"/>
  <c r="V369" i="1"/>
  <c r="U369" i="1"/>
  <c r="T369" i="1"/>
  <c r="S369" i="1"/>
  <c r="R369" i="1"/>
  <c r="Q369" i="1"/>
  <c r="P369" i="1"/>
  <c r="O369" i="1"/>
  <c r="V368" i="1"/>
  <c r="U368" i="1"/>
  <c r="T368" i="1"/>
  <c r="S368" i="1"/>
  <c r="R368" i="1"/>
  <c r="Q368" i="1"/>
  <c r="P368" i="1"/>
  <c r="O368" i="1"/>
  <c r="V367" i="1"/>
  <c r="U367" i="1"/>
  <c r="T367" i="1"/>
  <c r="S367" i="1"/>
  <c r="R367" i="1"/>
  <c r="Q367" i="1"/>
  <c r="P367" i="1"/>
  <c r="O367" i="1"/>
  <c r="V366" i="1"/>
  <c r="U366" i="1"/>
  <c r="T366" i="1"/>
  <c r="S366" i="1"/>
  <c r="R366" i="1"/>
  <c r="Q366" i="1"/>
  <c r="P366" i="1"/>
  <c r="O366" i="1"/>
  <c r="V365" i="1"/>
  <c r="U365" i="1"/>
  <c r="T365" i="1"/>
  <c r="S365" i="1"/>
  <c r="R365" i="1"/>
  <c r="Q365" i="1"/>
  <c r="P365" i="1"/>
  <c r="O365" i="1"/>
  <c r="V364" i="1"/>
  <c r="U364" i="1"/>
  <c r="T364" i="1"/>
  <c r="S364" i="1"/>
  <c r="R364" i="1"/>
  <c r="Q364" i="1"/>
  <c r="P364" i="1"/>
  <c r="O364" i="1"/>
  <c r="V363" i="1"/>
  <c r="U363" i="1"/>
  <c r="T363" i="1"/>
  <c r="S363" i="1"/>
  <c r="R363" i="1"/>
  <c r="Q363" i="1"/>
  <c r="P363" i="1"/>
  <c r="O363" i="1"/>
  <c r="V362" i="1"/>
  <c r="U362" i="1"/>
  <c r="T362" i="1"/>
  <c r="S362" i="1"/>
  <c r="R362" i="1"/>
  <c r="Q362" i="1"/>
  <c r="P362" i="1"/>
  <c r="O362" i="1"/>
  <c r="V361" i="1"/>
  <c r="U361" i="1"/>
  <c r="T361" i="1"/>
  <c r="S361" i="1"/>
  <c r="R361" i="1"/>
  <c r="Q361" i="1"/>
  <c r="P361" i="1"/>
  <c r="O361" i="1"/>
  <c r="V360" i="1"/>
  <c r="U360" i="1"/>
  <c r="T360" i="1"/>
  <c r="S360" i="1"/>
  <c r="R360" i="1"/>
  <c r="Q360" i="1"/>
  <c r="P360" i="1"/>
  <c r="O360" i="1"/>
  <c r="V359" i="1"/>
  <c r="U359" i="1"/>
  <c r="T359" i="1"/>
  <c r="S359" i="1"/>
  <c r="R359" i="1"/>
  <c r="Q359" i="1"/>
  <c r="P359" i="1"/>
  <c r="O359" i="1"/>
  <c r="V358" i="1"/>
  <c r="U358" i="1"/>
  <c r="T358" i="1"/>
  <c r="S358" i="1"/>
  <c r="R358" i="1"/>
  <c r="Q358" i="1"/>
  <c r="P358" i="1"/>
  <c r="O358" i="1"/>
  <c r="V357" i="1"/>
  <c r="U357" i="1"/>
  <c r="T357" i="1"/>
  <c r="S357" i="1"/>
  <c r="R357" i="1"/>
  <c r="Q357" i="1"/>
  <c r="P357" i="1"/>
  <c r="O357" i="1"/>
  <c r="V356" i="1"/>
  <c r="U356" i="1"/>
  <c r="T356" i="1"/>
  <c r="S356" i="1"/>
  <c r="R356" i="1"/>
  <c r="Q356" i="1"/>
  <c r="P356" i="1"/>
  <c r="O356" i="1"/>
  <c r="V355" i="1"/>
  <c r="U355" i="1"/>
  <c r="T355" i="1"/>
  <c r="S355" i="1"/>
  <c r="R355" i="1"/>
  <c r="Q355" i="1"/>
  <c r="P355" i="1"/>
  <c r="O355" i="1"/>
  <c r="V354" i="1"/>
  <c r="U354" i="1"/>
  <c r="T354" i="1"/>
  <c r="S354" i="1"/>
  <c r="R354" i="1"/>
  <c r="Q354" i="1"/>
  <c r="P354" i="1"/>
  <c r="O354" i="1"/>
  <c r="V353" i="1"/>
  <c r="U353" i="1"/>
  <c r="T353" i="1"/>
  <c r="S353" i="1"/>
  <c r="R353" i="1"/>
  <c r="Q353" i="1"/>
  <c r="P353" i="1"/>
  <c r="O353" i="1"/>
  <c r="V352" i="1"/>
  <c r="U352" i="1"/>
  <c r="T352" i="1"/>
  <c r="S352" i="1"/>
  <c r="R352" i="1"/>
  <c r="Q352" i="1"/>
  <c r="P352" i="1"/>
  <c r="O352" i="1"/>
  <c r="V351" i="1"/>
  <c r="U351" i="1"/>
  <c r="T351" i="1"/>
  <c r="S351" i="1"/>
  <c r="R351" i="1"/>
  <c r="Q351" i="1"/>
  <c r="P351" i="1"/>
  <c r="O351" i="1"/>
  <c r="V350" i="1"/>
  <c r="U350" i="1"/>
  <c r="T350" i="1"/>
  <c r="S350" i="1"/>
  <c r="R350" i="1"/>
  <c r="Q350" i="1"/>
  <c r="P350" i="1"/>
  <c r="O350" i="1"/>
  <c r="V349" i="1"/>
  <c r="U349" i="1"/>
  <c r="T349" i="1"/>
  <c r="S349" i="1"/>
  <c r="R349" i="1"/>
  <c r="Q349" i="1"/>
  <c r="P349" i="1"/>
  <c r="O349" i="1"/>
  <c r="V348" i="1"/>
  <c r="U348" i="1"/>
  <c r="T348" i="1"/>
  <c r="S348" i="1"/>
  <c r="R348" i="1"/>
  <c r="Q348" i="1"/>
  <c r="P348" i="1"/>
  <c r="O348" i="1"/>
  <c r="V347" i="1"/>
  <c r="U347" i="1"/>
  <c r="T347" i="1"/>
  <c r="S347" i="1"/>
  <c r="R347" i="1"/>
  <c r="Q347" i="1"/>
  <c r="P347" i="1"/>
  <c r="O347" i="1"/>
  <c r="V346" i="1"/>
  <c r="U346" i="1"/>
  <c r="T346" i="1"/>
  <c r="S346" i="1"/>
  <c r="R346" i="1"/>
  <c r="Q346" i="1"/>
  <c r="P346" i="1"/>
  <c r="O346" i="1"/>
  <c r="V345" i="1"/>
  <c r="U345" i="1"/>
  <c r="T345" i="1"/>
  <c r="S345" i="1"/>
  <c r="R345" i="1"/>
  <c r="Q345" i="1"/>
  <c r="P345" i="1"/>
  <c r="O345" i="1"/>
  <c r="V344" i="1"/>
  <c r="U344" i="1"/>
  <c r="T344" i="1"/>
  <c r="S344" i="1"/>
  <c r="R344" i="1"/>
  <c r="Q344" i="1"/>
  <c r="P344" i="1"/>
  <c r="O344" i="1"/>
  <c r="V343" i="1"/>
  <c r="U343" i="1"/>
  <c r="T343" i="1"/>
  <c r="S343" i="1"/>
  <c r="R343" i="1"/>
  <c r="Q343" i="1"/>
  <c r="P343" i="1"/>
  <c r="O343" i="1"/>
  <c r="V342" i="1"/>
  <c r="U342" i="1"/>
  <c r="T342" i="1"/>
  <c r="S342" i="1"/>
  <c r="R342" i="1"/>
  <c r="Q342" i="1"/>
  <c r="P342" i="1"/>
  <c r="O342" i="1"/>
  <c r="V341" i="1"/>
  <c r="U341" i="1"/>
  <c r="T341" i="1"/>
  <c r="S341" i="1"/>
  <c r="R341" i="1"/>
  <c r="Q341" i="1"/>
  <c r="P341" i="1"/>
  <c r="O341" i="1"/>
  <c r="V340" i="1"/>
  <c r="U340" i="1"/>
  <c r="T340" i="1"/>
  <c r="S340" i="1"/>
  <c r="R340" i="1"/>
  <c r="Q340" i="1"/>
  <c r="P340" i="1"/>
  <c r="O340" i="1"/>
  <c r="V339" i="1"/>
  <c r="U339" i="1"/>
  <c r="T339" i="1"/>
  <c r="S339" i="1"/>
  <c r="R339" i="1"/>
  <c r="Q339" i="1"/>
  <c r="P339" i="1"/>
  <c r="O339" i="1"/>
  <c r="V338" i="1"/>
  <c r="U338" i="1"/>
  <c r="T338" i="1"/>
  <c r="S338" i="1"/>
  <c r="R338" i="1"/>
  <c r="Q338" i="1"/>
  <c r="P338" i="1"/>
  <c r="O338" i="1"/>
  <c r="V337" i="1"/>
  <c r="U337" i="1"/>
  <c r="T337" i="1"/>
  <c r="S337" i="1"/>
  <c r="R337" i="1"/>
  <c r="Q337" i="1"/>
  <c r="P337" i="1"/>
  <c r="O337" i="1"/>
  <c r="V336" i="1"/>
  <c r="U336" i="1"/>
  <c r="T336" i="1"/>
  <c r="S336" i="1"/>
  <c r="R336" i="1"/>
  <c r="Q336" i="1"/>
  <c r="P336" i="1"/>
  <c r="O336" i="1"/>
  <c r="V335" i="1"/>
  <c r="U335" i="1"/>
  <c r="T335" i="1"/>
  <c r="S335" i="1"/>
  <c r="R335" i="1"/>
  <c r="Q335" i="1"/>
  <c r="P335" i="1"/>
  <c r="O335" i="1"/>
  <c r="V334" i="1"/>
  <c r="U334" i="1"/>
  <c r="T334" i="1"/>
  <c r="S334" i="1"/>
  <c r="R334" i="1"/>
  <c r="Q334" i="1"/>
  <c r="P334" i="1"/>
  <c r="O334" i="1"/>
  <c r="V333" i="1"/>
  <c r="U333" i="1"/>
  <c r="T333" i="1"/>
  <c r="S333" i="1"/>
  <c r="R333" i="1"/>
  <c r="Q333" i="1"/>
  <c r="P333" i="1"/>
  <c r="O333" i="1"/>
  <c r="V332" i="1"/>
  <c r="U332" i="1"/>
  <c r="T332" i="1"/>
  <c r="S332" i="1"/>
  <c r="R332" i="1"/>
  <c r="Q332" i="1"/>
  <c r="P332" i="1"/>
  <c r="O332" i="1"/>
  <c r="V331" i="1"/>
  <c r="U331" i="1"/>
  <c r="T331" i="1"/>
  <c r="S331" i="1"/>
  <c r="R331" i="1"/>
  <c r="Q331" i="1"/>
  <c r="P331" i="1"/>
  <c r="O331" i="1"/>
  <c r="V330" i="1"/>
  <c r="U330" i="1"/>
  <c r="T330" i="1"/>
  <c r="S330" i="1"/>
  <c r="R330" i="1"/>
  <c r="Q330" i="1"/>
  <c r="P330" i="1"/>
  <c r="O330" i="1"/>
  <c r="V329" i="1"/>
  <c r="U329" i="1"/>
  <c r="T329" i="1"/>
  <c r="S329" i="1"/>
  <c r="R329" i="1"/>
  <c r="Q329" i="1"/>
  <c r="P329" i="1"/>
  <c r="O329" i="1"/>
  <c r="V328" i="1"/>
  <c r="U328" i="1"/>
  <c r="T328" i="1"/>
  <c r="S328" i="1"/>
  <c r="R328" i="1"/>
  <c r="Q328" i="1"/>
  <c r="P328" i="1"/>
  <c r="O328" i="1"/>
  <c r="V327" i="1"/>
  <c r="U327" i="1"/>
  <c r="T327" i="1"/>
  <c r="S327" i="1"/>
  <c r="R327" i="1"/>
  <c r="Q327" i="1"/>
  <c r="P327" i="1"/>
  <c r="O327" i="1"/>
  <c r="V326" i="1"/>
  <c r="U326" i="1"/>
  <c r="T326" i="1"/>
  <c r="S326" i="1"/>
  <c r="R326" i="1"/>
  <c r="Q326" i="1"/>
  <c r="P326" i="1"/>
  <c r="O326" i="1"/>
  <c r="V325" i="1"/>
  <c r="U325" i="1"/>
  <c r="T325" i="1"/>
  <c r="S325" i="1"/>
  <c r="R325" i="1"/>
  <c r="Q325" i="1"/>
  <c r="P325" i="1"/>
  <c r="O325" i="1"/>
  <c r="V324" i="1"/>
  <c r="U324" i="1"/>
  <c r="T324" i="1"/>
  <c r="S324" i="1"/>
  <c r="R324" i="1"/>
  <c r="Q324" i="1"/>
  <c r="P324" i="1"/>
  <c r="O324" i="1"/>
  <c r="V323" i="1"/>
  <c r="U323" i="1"/>
  <c r="T323" i="1"/>
  <c r="S323" i="1"/>
  <c r="R323" i="1"/>
  <c r="Q323" i="1"/>
  <c r="P323" i="1"/>
  <c r="O323" i="1"/>
  <c r="V322" i="1"/>
  <c r="U322" i="1"/>
  <c r="T322" i="1"/>
  <c r="S322" i="1"/>
  <c r="R322" i="1"/>
  <c r="Q322" i="1"/>
  <c r="P322" i="1"/>
  <c r="O322" i="1"/>
  <c r="V321" i="1"/>
  <c r="U321" i="1"/>
  <c r="T321" i="1"/>
  <c r="S321" i="1"/>
  <c r="R321" i="1"/>
  <c r="Q321" i="1"/>
  <c r="P321" i="1"/>
  <c r="O321" i="1"/>
  <c r="V320" i="1"/>
  <c r="U320" i="1"/>
  <c r="T320" i="1"/>
  <c r="S320" i="1"/>
  <c r="R320" i="1"/>
  <c r="Q320" i="1"/>
  <c r="P320" i="1"/>
  <c r="O320" i="1"/>
  <c r="V319" i="1"/>
  <c r="U319" i="1"/>
  <c r="T319" i="1"/>
  <c r="S319" i="1"/>
  <c r="R319" i="1"/>
  <c r="Q319" i="1"/>
  <c r="P319" i="1"/>
  <c r="O319" i="1"/>
  <c r="V318" i="1"/>
  <c r="U318" i="1"/>
  <c r="T318" i="1"/>
  <c r="S318" i="1"/>
  <c r="R318" i="1"/>
  <c r="Q318" i="1"/>
  <c r="P318" i="1"/>
  <c r="O318" i="1"/>
  <c r="V317" i="1"/>
  <c r="U317" i="1"/>
  <c r="T317" i="1"/>
  <c r="S317" i="1"/>
  <c r="R317" i="1"/>
  <c r="Q317" i="1"/>
  <c r="P317" i="1"/>
  <c r="O317" i="1"/>
  <c r="V316" i="1"/>
  <c r="U316" i="1"/>
  <c r="T316" i="1"/>
  <c r="S316" i="1"/>
  <c r="R316" i="1"/>
  <c r="Q316" i="1"/>
  <c r="P316" i="1"/>
  <c r="O316" i="1"/>
  <c r="V315" i="1"/>
  <c r="U315" i="1"/>
  <c r="T315" i="1"/>
  <c r="S315" i="1"/>
  <c r="R315" i="1"/>
  <c r="Q315" i="1"/>
  <c r="P315" i="1"/>
  <c r="O315" i="1"/>
  <c r="V314" i="1"/>
  <c r="U314" i="1"/>
  <c r="T314" i="1"/>
  <c r="S314" i="1"/>
  <c r="R314" i="1"/>
  <c r="Q314" i="1"/>
  <c r="P314" i="1"/>
  <c r="O314" i="1"/>
  <c r="V313" i="1"/>
  <c r="U313" i="1"/>
  <c r="T313" i="1"/>
  <c r="S313" i="1"/>
  <c r="R313" i="1"/>
  <c r="Q313" i="1"/>
  <c r="P313" i="1"/>
  <c r="O313" i="1"/>
  <c r="V312" i="1"/>
  <c r="U312" i="1"/>
  <c r="T312" i="1"/>
  <c r="S312" i="1"/>
  <c r="R312" i="1"/>
  <c r="Q312" i="1"/>
  <c r="P312" i="1"/>
  <c r="O312" i="1"/>
  <c r="V311" i="1"/>
  <c r="U311" i="1"/>
  <c r="T311" i="1"/>
  <c r="S311" i="1"/>
  <c r="R311" i="1"/>
  <c r="Q311" i="1"/>
  <c r="P311" i="1"/>
  <c r="O311" i="1"/>
  <c r="V310" i="1"/>
  <c r="U310" i="1"/>
  <c r="T310" i="1"/>
  <c r="S310" i="1"/>
  <c r="R310" i="1"/>
  <c r="Q310" i="1"/>
  <c r="P310" i="1"/>
  <c r="O310" i="1"/>
  <c r="V309" i="1"/>
  <c r="U309" i="1"/>
  <c r="T309" i="1"/>
  <c r="S309" i="1"/>
  <c r="R309" i="1"/>
  <c r="Q309" i="1"/>
  <c r="P309" i="1"/>
  <c r="O309" i="1"/>
  <c r="V308" i="1"/>
  <c r="U308" i="1"/>
  <c r="T308" i="1"/>
  <c r="S308" i="1"/>
  <c r="R308" i="1"/>
  <c r="Q308" i="1"/>
  <c r="P308" i="1"/>
  <c r="O308" i="1"/>
  <c r="V307" i="1"/>
  <c r="U307" i="1"/>
  <c r="T307" i="1"/>
  <c r="S307" i="1"/>
  <c r="R307" i="1"/>
  <c r="Q307" i="1"/>
  <c r="P307" i="1"/>
  <c r="O307" i="1"/>
  <c r="V306" i="1"/>
  <c r="U306" i="1"/>
  <c r="T306" i="1"/>
  <c r="S306" i="1"/>
  <c r="R306" i="1"/>
  <c r="Q306" i="1"/>
  <c r="P306" i="1"/>
  <c r="O306" i="1"/>
  <c r="V305" i="1"/>
  <c r="U305" i="1"/>
  <c r="T305" i="1"/>
  <c r="S305" i="1"/>
  <c r="R305" i="1"/>
  <c r="Q305" i="1"/>
  <c r="P305" i="1"/>
  <c r="O305" i="1"/>
  <c r="V304" i="1"/>
  <c r="U304" i="1"/>
  <c r="T304" i="1"/>
  <c r="S304" i="1"/>
  <c r="R304" i="1"/>
  <c r="Q304" i="1"/>
  <c r="P304" i="1"/>
  <c r="O304" i="1"/>
  <c r="V303" i="1"/>
  <c r="U303" i="1"/>
  <c r="T303" i="1"/>
  <c r="S303" i="1"/>
  <c r="R303" i="1"/>
  <c r="Q303" i="1"/>
  <c r="P303" i="1"/>
  <c r="O303" i="1"/>
  <c r="V302" i="1"/>
  <c r="U302" i="1"/>
  <c r="T302" i="1"/>
  <c r="S302" i="1"/>
  <c r="R302" i="1"/>
  <c r="Q302" i="1"/>
  <c r="P302" i="1"/>
  <c r="O302" i="1"/>
  <c r="V301" i="1"/>
  <c r="U301" i="1"/>
  <c r="T301" i="1"/>
  <c r="S301" i="1"/>
  <c r="R301" i="1"/>
  <c r="Q301" i="1"/>
  <c r="P301" i="1"/>
  <c r="O301" i="1"/>
  <c r="V300" i="1"/>
  <c r="U300" i="1"/>
  <c r="T300" i="1"/>
  <c r="S300" i="1"/>
  <c r="R300" i="1"/>
  <c r="Q300" i="1"/>
  <c r="P300" i="1"/>
  <c r="O300" i="1"/>
  <c r="V299" i="1"/>
  <c r="U299" i="1"/>
  <c r="T299" i="1"/>
  <c r="S299" i="1"/>
  <c r="R299" i="1"/>
  <c r="Q299" i="1"/>
  <c r="P299" i="1"/>
  <c r="O299" i="1"/>
  <c r="V298" i="1"/>
  <c r="U298" i="1"/>
  <c r="T298" i="1"/>
  <c r="S298" i="1"/>
  <c r="R298" i="1"/>
  <c r="Q298" i="1"/>
  <c r="P298" i="1"/>
  <c r="O298" i="1"/>
  <c r="V297" i="1"/>
  <c r="U297" i="1"/>
  <c r="T297" i="1"/>
  <c r="S297" i="1"/>
  <c r="R297" i="1"/>
  <c r="Q297" i="1"/>
  <c r="P297" i="1"/>
  <c r="O297" i="1"/>
  <c r="V296" i="1"/>
  <c r="U296" i="1"/>
  <c r="T296" i="1"/>
  <c r="S296" i="1"/>
  <c r="R296" i="1"/>
  <c r="Q296" i="1"/>
  <c r="P296" i="1"/>
  <c r="O296" i="1"/>
  <c r="V295" i="1"/>
  <c r="U295" i="1"/>
  <c r="T295" i="1"/>
  <c r="S295" i="1"/>
  <c r="R295" i="1"/>
  <c r="Q295" i="1"/>
  <c r="P295" i="1"/>
  <c r="O295" i="1"/>
  <c r="V294" i="1"/>
  <c r="U294" i="1"/>
  <c r="T294" i="1"/>
  <c r="S294" i="1"/>
  <c r="R294" i="1"/>
  <c r="Q294" i="1"/>
  <c r="P294" i="1"/>
  <c r="O294" i="1"/>
  <c r="V293" i="1"/>
  <c r="U293" i="1"/>
  <c r="T293" i="1"/>
  <c r="S293" i="1"/>
  <c r="R293" i="1"/>
  <c r="Q293" i="1"/>
  <c r="P293" i="1"/>
  <c r="O293" i="1"/>
  <c r="V292" i="1"/>
  <c r="U292" i="1"/>
  <c r="T292" i="1"/>
  <c r="S292" i="1"/>
  <c r="R292" i="1"/>
  <c r="Q292" i="1"/>
  <c r="P292" i="1"/>
  <c r="O292" i="1"/>
  <c r="V291" i="1"/>
  <c r="U291" i="1"/>
  <c r="T291" i="1"/>
  <c r="S291" i="1"/>
  <c r="R291" i="1"/>
  <c r="Q291" i="1"/>
  <c r="P291" i="1"/>
  <c r="O291" i="1"/>
  <c r="V290" i="1"/>
  <c r="U290" i="1"/>
  <c r="T290" i="1"/>
  <c r="S290" i="1"/>
  <c r="R290" i="1"/>
  <c r="Q290" i="1"/>
  <c r="P290" i="1"/>
  <c r="O290" i="1"/>
  <c r="V289" i="1"/>
  <c r="U289" i="1"/>
  <c r="T289" i="1"/>
  <c r="S289" i="1"/>
  <c r="R289" i="1"/>
  <c r="Q289" i="1"/>
  <c r="P289" i="1"/>
  <c r="O289" i="1"/>
  <c r="V288" i="1"/>
  <c r="U288" i="1"/>
  <c r="T288" i="1"/>
  <c r="S288" i="1"/>
  <c r="R288" i="1"/>
  <c r="Q288" i="1"/>
  <c r="P288" i="1"/>
  <c r="O288" i="1"/>
  <c r="V287" i="1"/>
  <c r="U287" i="1"/>
  <c r="T287" i="1"/>
  <c r="S287" i="1"/>
  <c r="R287" i="1"/>
  <c r="Q287" i="1"/>
  <c r="P287" i="1"/>
  <c r="O287" i="1"/>
  <c r="V286" i="1"/>
  <c r="U286" i="1"/>
  <c r="T286" i="1"/>
  <c r="S286" i="1"/>
  <c r="R286" i="1"/>
  <c r="Q286" i="1"/>
  <c r="P286" i="1"/>
  <c r="O286" i="1"/>
  <c r="V285" i="1"/>
  <c r="U285" i="1"/>
  <c r="T285" i="1"/>
  <c r="S285" i="1"/>
  <c r="R285" i="1"/>
  <c r="Q285" i="1"/>
  <c r="P285" i="1"/>
  <c r="O285" i="1"/>
  <c r="V284" i="1"/>
  <c r="U284" i="1"/>
  <c r="T284" i="1"/>
  <c r="S284" i="1"/>
  <c r="R284" i="1"/>
  <c r="Q284" i="1"/>
  <c r="P284" i="1"/>
  <c r="O284" i="1"/>
  <c r="V283" i="1"/>
  <c r="U283" i="1"/>
  <c r="T283" i="1"/>
  <c r="S283" i="1"/>
  <c r="R283" i="1"/>
  <c r="Q283" i="1"/>
  <c r="P283" i="1"/>
  <c r="O283" i="1"/>
  <c r="V282" i="1"/>
  <c r="U282" i="1"/>
  <c r="T282" i="1"/>
  <c r="S282" i="1"/>
  <c r="R282" i="1"/>
  <c r="Q282" i="1"/>
  <c r="P282" i="1"/>
  <c r="O282" i="1"/>
  <c r="V281" i="1"/>
  <c r="U281" i="1"/>
  <c r="T281" i="1"/>
  <c r="S281" i="1"/>
  <c r="R281" i="1"/>
  <c r="Q281" i="1"/>
  <c r="P281" i="1"/>
  <c r="O281" i="1"/>
  <c r="V280" i="1"/>
  <c r="U280" i="1"/>
  <c r="T280" i="1"/>
  <c r="S280" i="1"/>
  <c r="R280" i="1"/>
  <c r="Q280" i="1"/>
  <c r="P280" i="1"/>
  <c r="O280" i="1"/>
  <c r="V279" i="1"/>
  <c r="U279" i="1"/>
  <c r="T279" i="1"/>
  <c r="S279" i="1"/>
  <c r="R279" i="1"/>
  <c r="Q279" i="1"/>
  <c r="P279" i="1"/>
  <c r="O279" i="1"/>
  <c r="V278" i="1"/>
  <c r="U278" i="1"/>
  <c r="T278" i="1"/>
  <c r="S278" i="1"/>
  <c r="R278" i="1"/>
  <c r="Q278" i="1"/>
  <c r="P278" i="1"/>
  <c r="O278" i="1"/>
  <c r="V277" i="1"/>
  <c r="U277" i="1"/>
  <c r="T277" i="1"/>
  <c r="S277" i="1"/>
  <c r="R277" i="1"/>
  <c r="Q277" i="1"/>
  <c r="P277" i="1"/>
  <c r="O277" i="1"/>
  <c r="V276" i="1"/>
  <c r="U276" i="1"/>
  <c r="T276" i="1"/>
  <c r="S276" i="1"/>
  <c r="R276" i="1"/>
  <c r="Q276" i="1"/>
  <c r="P276" i="1"/>
  <c r="O276" i="1"/>
  <c r="V275" i="1"/>
  <c r="U275" i="1"/>
  <c r="T275" i="1"/>
  <c r="S275" i="1"/>
  <c r="R275" i="1"/>
  <c r="Q275" i="1"/>
  <c r="P275" i="1"/>
  <c r="O275" i="1"/>
  <c r="V274" i="1"/>
  <c r="U274" i="1"/>
  <c r="T274" i="1"/>
  <c r="S274" i="1"/>
  <c r="R274" i="1"/>
  <c r="Q274" i="1"/>
  <c r="P274" i="1"/>
  <c r="O274" i="1"/>
  <c r="V273" i="1"/>
  <c r="U273" i="1"/>
  <c r="T273" i="1"/>
  <c r="S273" i="1"/>
  <c r="R273" i="1"/>
  <c r="Q273" i="1"/>
  <c r="P273" i="1"/>
  <c r="O273" i="1"/>
  <c r="V272" i="1"/>
  <c r="U272" i="1"/>
  <c r="T272" i="1"/>
  <c r="S272" i="1"/>
  <c r="R272" i="1"/>
  <c r="Q272" i="1"/>
  <c r="P272" i="1"/>
  <c r="O272" i="1"/>
  <c r="V271" i="1"/>
  <c r="U271" i="1"/>
  <c r="T271" i="1"/>
  <c r="S271" i="1"/>
  <c r="R271" i="1"/>
  <c r="Q271" i="1"/>
  <c r="P271" i="1"/>
  <c r="O271" i="1"/>
  <c r="V270" i="1"/>
  <c r="U270" i="1"/>
  <c r="T270" i="1"/>
  <c r="S270" i="1"/>
  <c r="R270" i="1"/>
  <c r="Q270" i="1"/>
  <c r="P270" i="1"/>
  <c r="O270" i="1"/>
  <c r="V269" i="1"/>
  <c r="U269" i="1"/>
  <c r="T269" i="1"/>
  <c r="S269" i="1"/>
  <c r="R269" i="1"/>
  <c r="Q269" i="1"/>
  <c r="P269" i="1"/>
  <c r="O269" i="1"/>
  <c r="V268" i="1"/>
  <c r="U268" i="1"/>
  <c r="T268" i="1"/>
  <c r="S268" i="1"/>
  <c r="R268" i="1"/>
  <c r="Q268" i="1"/>
  <c r="P268" i="1"/>
  <c r="O268" i="1"/>
  <c r="V267" i="1"/>
  <c r="U267" i="1"/>
  <c r="T267" i="1"/>
  <c r="S267" i="1"/>
  <c r="R267" i="1"/>
  <c r="Q267" i="1"/>
  <c r="P267" i="1"/>
  <c r="O267" i="1"/>
  <c r="V266" i="1"/>
  <c r="U266" i="1"/>
  <c r="T266" i="1"/>
  <c r="S266" i="1"/>
  <c r="R266" i="1"/>
  <c r="Q266" i="1"/>
  <c r="P266" i="1"/>
  <c r="O266" i="1"/>
  <c r="V265" i="1"/>
  <c r="U265" i="1"/>
  <c r="T265" i="1"/>
  <c r="S265" i="1"/>
  <c r="R265" i="1"/>
  <c r="Q265" i="1"/>
  <c r="P265" i="1"/>
  <c r="O265" i="1"/>
  <c r="V264" i="1"/>
  <c r="U264" i="1"/>
  <c r="T264" i="1"/>
  <c r="S264" i="1"/>
  <c r="R264" i="1"/>
  <c r="Q264" i="1"/>
  <c r="P264" i="1"/>
  <c r="O264" i="1"/>
  <c r="V263" i="1"/>
  <c r="U263" i="1"/>
  <c r="T263" i="1"/>
  <c r="S263" i="1"/>
  <c r="R263" i="1"/>
  <c r="Q263" i="1"/>
  <c r="P263" i="1"/>
  <c r="O263" i="1"/>
  <c r="V262" i="1"/>
  <c r="U262" i="1"/>
  <c r="T262" i="1"/>
  <c r="S262" i="1"/>
  <c r="R262" i="1"/>
  <c r="Q262" i="1"/>
  <c r="P262" i="1"/>
  <c r="O262" i="1"/>
  <c r="V261" i="1"/>
  <c r="U261" i="1"/>
  <c r="T261" i="1"/>
  <c r="S261" i="1"/>
  <c r="R261" i="1"/>
  <c r="Q261" i="1"/>
  <c r="P261" i="1"/>
  <c r="O261" i="1"/>
  <c r="V260" i="1"/>
  <c r="U260" i="1"/>
  <c r="T260" i="1"/>
  <c r="S260" i="1"/>
  <c r="R260" i="1"/>
  <c r="Q260" i="1"/>
  <c r="P260" i="1"/>
  <c r="O260" i="1"/>
  <c r="V259" i="1"/>
  <c r="U259" i="1"/>
  <c r="T259" i="1"/>
  <c r="S259" i="1"/>
  <c r="R259" i="1"/>
  <c r="Q259" i="1"/>
  <c r="P259" i="1"/>
  <c r="O259" i="1"/>
  <c r="V258" i="1"/>
  <c r="U258" i="1"/>
  <c r="T258" i="1"/>
  <c r="S258" i="1"/>
  <c r="R258" i="1"/>
  <c r="Q258" i="1"/>
  <c r="P258" i="1"/>
  <c r="O258" i="1"/>
  <c r="V257" i="1"/>
  <c r="U257" i="1"/>
  <c r="T257" i="1"/>
  <c r="S257" i="1"/>
  <c r="R257" i="1"/>
  <c r="Q257" i="1"/>
  <c r="P257" i="1"/>
  <c r="O257" i="1"/>
  <c r="V256" i="1"/>
  <c r="U256" i="1"/>
  <c r="T256" i="1"/>
  <c r="S256" i="1"/>
  <c r="R256" i="1"/>
  <c r="Q256" i="1"/>
  <c r="P256" i="1"/>
  <c r="O256" i="1"/>
  <c r="V255" i="1"/>
  <c r="U255" i="1"/>
  <c r="T255" i="1"/>
  <c r="S255" i="1"/>
  <c r="R255" i="1"/>
  <c r="Q255" i="1"/>
  <c r="P255" i="1"/>
  <c r="O255" i="1"/>
  <c r="V254" i="1"/>
  <c r="U254" i="1"/>
  <c r="T254" i="1"/>
  <c r="S254" i="1"/>
  <c r="R254" i="1"/>
  <c r="Q254" i="1"/>
  <c r="P254" i="1"/>
  <c r="O254" i="1"/>
  <c r="V253" i="1"/>
  <c r="U253" i="1"/>
  <c r="T253" i="1"/>
  <c r="S253" i="1"/>
  <c r="R253" i="1"/>
  <c r="Q253" i="1"/>
  <c r="P253" i="1"/>
  <c r="O253" i="1"/>
  <c r="V252" i="1"/>
  <c r="U252" i="1"/>
  <c r="T252" i="1"/>
  <c r="S252" i="1"/>
  <c r="R252" i="1"/>
  <c r="Q252" i="1"/>
  <c r="P252" i="1"/>
  <c r="O252" i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H156" i="21" l="1"/>
  <c r="H144" i="21"/>
  <c r="H142" i="21"/>
  <c r="H162" i="21"/>
  <c r="H168" i="21"/>
  <c r="J153" i="21" a="1"/>
  <c r="J153" i="21" s="1"/>
  <c r="H151" i="21"/>
  <c r="H146" i="21"/>
  <c r="H160" i="21"/>
  <c r="H166" i="21"/>
  <c r="H171" i="21"/>
  <c r="C172" i="21"/>
  <c r="H143" i="21"/>
  <c r="H141" i="21"/>
  <c r="H169" i="21"/>
  <c r="H152" i="21"/>
  <c r="I140" i="21" a="1"/>
  <c r="I140" i="21" s="1"/>
  <c r="E140" i="21"/>
  <c r="I171" i="21" a="1"/>
  <c r="I171" i="21" s="1"/>
  <c r="E171" i="21"/>
  <c r="H170" i="21"/>
  <c r="I170" i="21" a="1"/>
  <c r="I170" i="21" s="1"/>
  <c r="E170" i="21"/>
  <c r="E172" i="21"/>
  <c r="I169" i="21" a="1"/>
  <c r="I169" i="21" s="1"/>
  <c r="E169" i="21"/>
  <c r="I168" i="21" a="1"/>
  <c r="I168" i="21" s="1"/>
  <c r="E168" i="21"/>
  <c r="I167" i="21" a="1"/>
  <c r="I167" i="21" s="1"/>
  <c r="E167" i="21"/>
  <c r="I166" i="21" a="1"/>
  <c r="I166" i="21" s="1"/>
  <c r="E166" i="21"/>
  <c r="H165" i="21"/>
  <c r="I165" i="21" a="1"/>
  <c r="I165" i="21" s="1"/>
  <c r="E165" i="21"/>
  <c r="H164" i="21"/>
  <c r="I164" i="21" a="1"/>
  <c r="I164" i="21" s="1"/>
  <c r="E164" i="21"/>
  <c r="H163" i="21"/>
  <c r="I163" i="21" a="1"/>
  <c r="I163" i="21" s="1"/>
  <c r="E163" i="21"/>
  <c r="E162" i="21"/>
  <c r="J162" i="21" a="1"/>
  <c r="J162" i="21" s="1"/>
  <c r="H161" i="21"/>
  <c r="I161" i="21" a="1"/>
  <c r="I161" i="21" s="1"/>
  <c r="E161" i="21"/>
  <c r="I160" i="21" a="1"/>
  <c r="I160" i="21" s="1"/>
  <c r="E160" i="21"/>
  <c r="I159" i="21" a="1"/>
  <c r="I159" i="21" s="1"/>
  <c r="E159" i="21"/>
  <c r="H158" i="21"/>
  <c r="I158" i="21" a="1"/>
  <c r="I158" i="21" s="1"/>
  <c r="E158" i="21"/>
  <c r="I157" i="21" a="1"/>
  <c r="I157" i="21" s="1"/>
  <c r="E157" i="21"/>
  <c r="I141" i="21" a="1"/>
  <c r="I141" i="21" s="1"/>
  <c r="E141" i="21"/>
  <c r="I142" i="21" a="1"/>
  <c r="I142" i="21" s="1"/>
  <c r="E142" i="21"/>
  <c r="I143" i="21" a="1"/>
  <c r="I143" i="21" s="1"/>
  <c r="E143" i="21"/>
  <c r="I144" i="21" a="1"/>
  <c r="I144" i="21" s="1"/>
  <c r="E144" i="21"/>
  <c r="H145" i="21"/>
  <c r="I145" i="21" a="1"/>
  <c r="I145" i="21" s="1"/>
  <c r="E145" i="21"/>
  <c r="I146" i="21" a="1"/>
  <c r="I146" i="21" s="1"/>
  <c r="E146" i="21"/>
  <c r="I147" i="21" a="1"/>
  <c r="I147" i="21" s="1"/>
  <c r="E147" i="21"/>
  <c r="H148" i="21"/>
  <c r="I148" i="21" a="1"/>
  <c r="I148" i="21" s="1"/>
  <c r="E148" i="21"/>
  <c r="H149" i="21"/>
  <c r="I149" i="21" a="1"/>
  <c r="I149" i="21" s="1"/>
  <c r="E149" i="21"/>
  <c r="I150" i="21" a="1"/>
  <c r="I150" i="21" s="1"/>
  <c r="E150" i="21"/>
  <c r="I151" i="21" a="1"/>
  <c r="I151" i="21" s="1"/>
  <c r="E151" i="21"/>
  <c r="I152" i="21" a="1"/>
  <c r="I152" i="21" s="1"/>
  <c r="E152" i="21"/>
  <c r="H155" i="21"/>
  <c r="E155" i="21"/>
  <c r="E156" i="21"/>
  <c r="E154" i="21"/>
  <c r="E153" i="21"/>
  <c r="H154" i="21"/>
  <c r="J172" i="21"/>
  <c r="E122" i="21"/>
  <c r="E126" i="21"/>
  <c r="H153" i="21"/>
  <c r="F172" i="21"/>
  <c r="G172" i="21"/>
  <c r="I172" i="21"/>
  <c r="G126" i="19"/>
  <c r="X2" i="19"/>
  <c r="Y2" i="19" s="1"/>
  <c r="X3" i="19"/>
  <c r="Y3" i="19" s="1"/>
  <c r="X4" i="19"/>
  <c r="Y4" i="19" s="1"/>
  <c r="X5" i="19"/>
  <c r="Y5" i="19" s="1"/>
  <c r="X6" i="19"/>
  <c r="Y6" i="19" s="1"/>
  <c r="X7" i="19"/>
  <c r="Y7" i="19" s="1"/>
  <c r="X8" i="19"/>
  <c r="Y8" i="19" s="1"/>
  <c r="X9" i="19"/>
  <c r="Y9" i="19" s="1"/>
  <c r="X10" i="19"/>
  <c r="Y10" i="19" s="1"/>
  <c r="X11" i="19"/>
  <c r="Y11" i="19" s="1"/>
  <c r="X12" i="19"/>
  <c r="Y12" i="19" s="1"/>
  <c r="X13" i="19"/>
  <c r="Y13" i="19" s="1"/>
  <c r="X14" i="19"/>
  <c r="Y14" i="19" s="1"/>
  <c r="X15" i="19"/>
  <c r="Y15" i="19" s="1"/>
  <c r="X16" i="19"/>
  <c r="Y16" i="19" s="1"/>
  <c r="X17" i="19"/>
  <c r="Y17" i="19" s="1"/>
  <c r="X18" i="19"/>
  <c r="Y18" i="19" s="1"/>
  <c r="X19" i="19"/>
  <c r="Y19" i="19" s="1"/>
  <c r="X20" i="19"/>
  <c r="Y20" i="19" s="1"/>
  <c r="X21" i="19"/>
  <c r="Y21" i="19" s="1"/>
  <c r="X22" i="19"/>
  <c r="Y22" i="19" s="1"/>
  <c r="X23" i="19"/>
  <c r="Y23" i="19" s="1"/>
  <c r="X24" i="19"/>
  <c r="Y24" i="19" s="1"/>
  <c r="X25" i="19"/>
  <c r="Y25" i="19" s="1"/>
  <c r="X26" i="19"/>
  <c r="Y26" i="19" s="1"/>
  <c r="X27" i="19"/>
  <c r="Y27" i="19" s="1"/>
  <c r="X28" i="19"/>
  <c r="Y28" i="19" s="1"/>
  <c r="X29" i="19"/>
  <c r="Y29" i="19" s="1"/>
  <c r="X30" i="19"/>
  <c r="Y30" i="19" s="1"/>
  <c r="X31" i="19"/>
  <c r="Y31" i="19" s="1"/>
  <c r="X32" i="19"/>
  <c r="Y32" i="19" s="1"/>
  <c r="X33" i="19"/>
  <c r="Y33" i="19" s="1"/>
  <c r="X34" i="19"/>
  <c r="Y34" i="19" s="1"/>
  <c r="X35" i="19"/>
  <c r="Y35" i="19" s="1"/>
  <c r="X36" i="19"/>
  <c r="Y36" i="19" s="1"/>
  <c r="X37" i="19"/>
  <c r="Y37" i="19" s="1"/>
  <c r="X38" i="19"/>
  <c r="Y38" i="19" s="1"/>
  <c r="X39" i="19"/>
  <c r="Y39" i="19" s="1"/>
  <c r="X40" i="19"/>
  <c r="Y40" i="19" s="1"/>
  <c r="X41" i="19"/>
  <c r="Y41" i="19" s="1"/>
  <c r="X42" i="19"/>
  <c r="Y42" i="19" s="1"/>
  <c r="X43" i="19"/>
  <c r="Y43" i="19" s="1"/>
  <c r="X44" i="19"/>
  <c r="Y44" i="19" s="1"/>
  <c r="X45" i="19"/>
  <c r="Y45" i="19" s="1"/>
  <c r="X46" i="19"/>
  <c r="Y46" i="19" s="1"/>
  <c r="X47" i="19"/>
  <c r="Y47" i="19" s="1"/>
  <c r="X48" i="19"/>
  <c r="Y48" i="19" s="1"/>
  <c r="X49" i="19"/>
  <c r="Y49" i="19" s="1"/>
  <c r="X50" i="19"/>
  <c r="Y50" i="19" s="1"/>
  <c r="X51" i="19"/>
  <c r="Y51" i="19" s="1"/>
  <c r="X52" i="19"/>
  <c r="Y52" i="19" s="1"/>
  <c r="X53" i="19"/>
  <c r="Y53" i="19" s="1"/>
  <c r="X54" i="19"/>
  <c r="Y54" i="19" s="1"/>
  <c r="X55" i="19"/>
  <c r="Y55" i="19" s="1"/>
  <c r="X56" i="19"/>
  <c r="Y56" i="19" s="1"/>
  <c r="X57" i="19"/>
  <c r="Y57" i="19" s="1"/>
  <c r="X58" i="19"/>
  <c r="Y58" i="19" s="1"/>
  <c r="X60" i="19"/>
  <c r="Y60" i="19" s="1"/>
  <c r="X61" i="19"/>
  <c r="Y61" i="19" s="1"/>
  <c r="X62" i="19"/>
  <c r="Y62" i="19" s="1"/>
  <c r="X63" i="19"/>
  <c r="Y63" i="19" s="1"/>
  <c r="X64" i="19"/>
  <c r="Y64" i="19" s="1"/>
  <c r="X65" i="19"/>
  <c r="Y65" i="19" s="1"/>
  <c r="X66" i="19"/>
  <c r="Y66" i="19" s="1"/>
  <c r="X67" i="19"/>
  <c r="Y67" i="19" s="1"/>
  <c r="X68" i="19"/>
  <c r="Y68" i="19" s="1"/>
  <c r="X69" i="19"/>
  <c r="Y69" i="19" s="1"/>
  <c r="X70" i="19"/>
  <c r="Y70" i="19" s="1"/>
  <c r="X71" i="19"/>
  <c r="Y71" i="19" s="1"/>
  <c r="X72" i="19"/>
  <c r="Y72" i="19" s="1"/>
  <c r="X73" i="19"/>
  <c r="Y73" i="19" s="1"/>
  <c r="X74" i="19"/>
  <c r="Y74" i="19" s="1"/>
  <c r="X75" i="19"/>
  <c r="Y75" i="19" s="1"/>
  <c r="X76" i="19"/>
  <c r="Y76" i="19" s="1"/>
  <c r="X77" i="19"/>
  <c r="Y77" i="19" s="1"/>
  <c r="X78" i="19"/>
  <c r="Y78" i="19" s="1"/>
  <c r="X79" i="19"/>
  <c r="Y79" i="19" s="1"/>
  <c r="X80" i="19"/>
  <c r="Y80" i="19" s="1"/>
  <c r="X81" i="19"/>
  <c r="Y81" i="19" s="1"/>
  <c r="X82" i="19"/>
  <c r="Y82" i="19" s="1"/>
  <c r="X83" i="19"/>
  <c r="Y83" i="19" s="1"/>
  <c r="X84" i="19"/>
  <c r="Y84" i="19" s="1"/>
  <c r="X85" i="19"/>
  <c r="Y85" i="19" s="1"/>
  <c r="X86" i="19"/>
  <c r="Y86" i="19" s="1"/>
  <c r="X87" i="19"/>
  <c r="Y87" i="19" s="1"/>
  <c r="X88" i="19"/>
  <c r="Y88" i="19" s="1"/>
  <c r="X89" i="19"/>
  <c r="Y89" i="19" s="1"/>
  <c r="X90" i="19"/>
  <c r="Y90" i="19" s="1"/>
  <c r="X91" i="19"/>
  <c r="Y91" i="19" s="1"/>
  <c r="X92" i="19"/>
  <c r="Y92" i="19" s="1"/>
  <c r="X93" i="19"/>
  <c r="Y93" i="19" s="1"/>
  <c r="X94" i="19"/>
  <c r="Y94" i="19" s="1"/>
  <c r="X95" i="19"/>
  <c r="Y95" i="19" s="1"/>
  <c r="X96" i="19"/>
  <c r="Y96" i="19" s="1"/>
  <c r="X97" i="19"/>
  <c r="Y97" i="19" s="1"/>
  <c r="X98" i="19"/>
  <c r="Y98" i="19" s="1"/>
  <c r="X99" i="19"/>
  <c r="Y99" i="19" s="1"/>
  <c r="X100" i="19"/>
  <c r="Y100" i="19" s="1"/>
  <c r="X101" i="19"/>
  <c r="Y101" i="19" s="1"/>
  <c r="X102" i="19"/>
  <c r="Y102" i="19" s="1"/>
  <c r="X103" i="19"/>
  <c r="Y103" i="19" s="1"/>
  <c r="X104" i="19"/>
  <c r="Y104" i="19" s="1"/>
  <c r="X105" i="19"/>
  <c r="Y105" i="19" s="1"/>
  <c r="X106" i="19"/>
  <c r="Y106" i="19" s="1"/>
  <c r="X107" i="19"/>
  <c r="Y107" i="19" s="1"/>
  <c r="X108" i="19"/>
  <c r="Y108" i="19" s="1"/>
  <c r="X109" i="19"/>
  <c r="Y109" i="19" s="1"/>
  <c r="X110" i="19"/>
  <c r="Y110" i="19" s="1"/>
  <c r="X111" i="19"/>
  <c r="Y111" i="19" s="1"/>
  <c r="X112" i="19"/>
  <c r="Y112" i="19" s="1"/>
  <c r="X113" i="19"/>
  <c r="Y113" i="19" s="1"/>
  <c r="X114" i="19"/>
  <c r="Y114" i="19" s="1"/>
  <c r="X115" i="19"/>
  <c r="Y115" i="19" s="1"/>
  <c r="X116" i="19"/>
  <c r="Y116" i="19" s="1"/>
  <c r="X117" i="19"/>
  <c r="Y117" i="19" s="1"/>
  <c r="X59" i="19"/>
  <c r="Y59" i="19" s="1"/>
  <c r="E124" i="21"/>
  <c r="E130" i="21"/>
  <c r="J137" i="21"/>
  <c r="E123" i="21"/>
  <c r="E131" i="21"/>
  <c r="D135" i="21"/>
  <c r="J135" i="21" a="1"/>
  <c r="J135" i="21" s="1"/>
  <c r="E125" i="21"/>
  <c r="G136" i="21" a="1"/>
  <c r="G136" i="21" s="1"/>
  <c r="B135" i="21"/>
  <c r="G135" i="21" a="1"/>
  <c r="G135" i="21" s="1"/>
  <c r="J136" i="21" a="1"/>
  <c r="J136" i="21" s="1"/>
  <c r="C136" i="21"/>
  <c r="F136" i="21" a="1"/>
  <c r="F136" i="21" s="1"/>
  <c r="H136" i="21" s="1"/>
  <c r="I136" i="21" a="1"/>
  <c r="I136" i="21" s="1"/>
  <c r="C135" i="21"/>
  <c r="F135" i="21" a="1"/>
  <c r="F135" i="21" s="1"/>
  <c r="I135" i="21" a="1"/>
  <c r="I135" i="21" s="1"/>
  <c r="I137" i="21"/>
  <c r="B136" i="21"/>
  <c r="D136" i="21"/>
  <c r="D137" i="21" s="1"/>
  <c r="G137" i="21"/>
  <c r="G124" i="21" a="1"/>
  <c r="G124" i="21" s="1"/>
  <c r="F137" i="21"/>
  <c r="C132" i="21"/>
  <c r="G131" i="21" a="1"/>
  <c r="G131" i="21" s="1"/>
  <c r="G127" i="21"/>
  <c r="G122" i="21" a="1"/>
  <c r="G122" i="21" s="1"/>
  <c r="G126" i="21" a="1"/>
  <c r="G126" i="21" s="1"/>
  <c r="I130" i="21" a="1"/>
  <c r="I130" i="21" s="1"/>
  <c r="J131" i="21" a="1"/>
  <c r="J131" i="21" s="1"/>
  <c r="F124" i="21" a="1"/>
  <c r="F124" i="21" s="1"/>
  <c r="F131" i="21" a="1"/>
  <c r="F131" i="21" s="1"/>
  <c r="G132" i="21"/>
  <c r="I131" i="21" a="1"/>
  <c r="I131" i="21" s="1"/>
  <c r="J132" i="21"/>
  <c r="F125" i="21" a="1"/>
  <c r="F125" i="21" s="1"/>
  <c r="F132" i="21"/>
  <c r="F127" i="21"/>
  <c r="G125" i="21" a="1"/>
  <c r="G125" i="21" s="1"/>
  <c r="I132" i="21"/>
  <c r="F122" i="21" a="1"/>
  <c r="F122" i="21" s="1"/>
  <c r="F126" i="21" a="1"/>
  <c r="F126" i="21" s="1"/>
  <c r="G130" i="21" a="1"/>
  <c r="G130" i="21" s="1"/>
  <c r="J130" i="21" a="1"/>
  <c r="J130" i="21" s="1"/>
  <c r="F123" i="21" a="1"/>
  <c r="F123" i="21" s="1"/>
  <c r="F130" i="21" a="1"/>
  <c r="F130" i="21" s="1"/>
  <c r="G123" i="21" a="1"/>
  <c r="G123" i="21" s="1"/>
  <c r="D132" i="21"/>
  <c r="B132" i="21"/>
  <c r="I122" i="21" a="1"/>
  <c r="I122" i="21" s="1"/>
  <c r="J127" i="21"/>
  <c r="B127" i="21"/>
  <c r="E127" i="21" s="1"/>
  <c r="I126" i="21" a="1"/>
  <c r="I126" i="21" s="1"/>
  <c r="J124" i="21" a="1"/>
  <c r="J124" i="21" s="1"/>
  <c r="J125" i="21" a="1"/>
  <c r="J125" i="21" s="1"/>
  <c r="J123" i="21" a="1"/>
  <c r="J123" i="21" s="1"/>
  <c r="I125" i="21" a="1"/>
  <c r="I125" i="21" s="1"/>
  <c r="J122" i="21" a="1"/>
  <c r="J122" i="21" s="1"/>
  <c r="I124" i="21" a="1"/>
  <c r="I124" i="21" s="1"/>
  <c r="J126" i="21" a="1"/>
  <c r="J126" i="21" s="1"/>
  <c r="I123" i="21" a="1"/>
  <c r="I123" i="21" s="1"/>
  <c r="I127" i="21"/>
  <c r="L118" i="19"/>
  <c r="M124" i="19" a="1"/>
  <c r="M124" i="19" s="1"/>
  <c r="M122" i="19" a="1"/>
  <c r="M122" i="19" s="1"/>
  <c r="L123" i="19" a="1"/>
  <c r="L123" i="19" s="1"/>
  <c r="L126" i="19"/>
  <c r="M123" i="19" a="1"/>
  <c r="M123" i="19" s="1"/>
  <c r="L125" i="19" a="1"/>
  <c r="L125" i="19" s="1"/>
  <c r="L121" i="19" a="1"/>
  <c r="L121" i="19" s="1"/>
  <c r="M126" i="19"/>
  <c r="L122" i="19" a="1"/>
  <c r="L122" i="19" s="1"/>
  <c r="M121" i="19" a="1"/>
  <c r="M121" i="19" s="1"/>
  <c r="M125" i="19" a="1"/>
  <c r="M125" i="19" s="1"/>
  <c r="L124" i="19" a="1"/>
  <c r="L124" i="19" s="1"/>
  <c r="L1403" i="1" a="1"/>
  <c r="L1403" i="1" s="1"/>
  <c r="L1402" i="1" a="1"/>
  <c r="L1402" i="1" s="1"/>
  <c r="L1401" i="1" a="1"/>
  <c r="L1401" i="1" s="1"/>
  <c r="L1400" i="1" a="1"/>
  <c r="L1400" i="1" s="1"/>
  <c r="L1399" i="1" a="1"/>
  <c r="L1399" i="1" s="1"/>
  <c r="M1430" i="1"/>
  <c r="M1426" i="1"/>
  <c r="M1434" i="1"/>
  <c r="M1429" i="1"/>
  <c r="M1425" i="1"/>
  <c r="M1433" i="1"/>
  <c r="M1428" i="1"/>
  <c r="M1424" i="1"/>
  <c r="J1437" i="1"/>
  <c r="K1437" i="1"/>
  <c r="M1427" i="1"/>
  <c r="M1432" i="1"/>
  <c r="L1431" i="1"/>
  <c r="M1431" i="1"/>
  <c r="L1422" i="1"/>
  <c r="L1427" i="1"/>
  <c r="L1423" i="1"/>
  <c r="L1434" i="1"/>
  <c r="L1430" i="1"/>
  <c r="L1426" i="1"/>
  <c r="L1433" i="1"/>
  <c r="L1429" i="1"/>
  <c r="L1425" i="1"/>
  <c r="L1432" i="1"/>
  <c r="L1428" i="1"/>
  <c r="L1424" i="1"/>
  <c r="E1437" i="1"/>
  <c r="F1437" i="1"/>
  <c r="F1439" i="1" s="1"/>
  <c r="G1437" i="1"/>
  <c r="G1439" i="1" s="1"/>
  <c r="I1437" i="1"/>
  <c r="I1439" i="1" s="1"/>
  <c r="H1437" i="1"/>
  <c r="H1439" i="1" s="1"/>
  <c r="O1409" i="1"/>
  <c r="O1411" i="1"/>
  <c r="O1408" i="1"/>
  <c r="O1407" i="1"/>
  <c r="O1410" i="1"/>
  <c r="K1412" i="1"/>
  <c r="J1412" i="1"/>
  <c r="N1412" i="1"/>
  <c r="M1412" i="1"/>
  <c r="E14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972" i="1"/>
  <c r="L976" i="1"/>
  <c r="L980" i="1"/>
  <c r="L988" i="1"/>
  <c r="L992" i="1"/>
  <c r="L995" i="1"/>
  <c r="L999" i="1"/>
  <c r="L1000" i="1"/>
  <c r="L1003" i="1"/>
  <c r="L1007" i="1"/>
  <c r="L1008" i="1"/>
  <c r="L1011" i="1"/>
  <c r="L1015" i="1"/>
  <c r="L1016" i="1"/>
  <c r="L1019" i="1"/>
  <c r="L1023" i="1"/>
  <c r="L1024" i="1"/>
  <c r="L1027" i="1"/>
  <c r="L1028" i="1"/>
  <c r="L1031" i="1"/>
  <c r="L1032" i="1"/>
  <c r="L1035" i="1"/>
  <c r="L1036" i="1"/>
  <c r="L1039" i="1"/>
  <c r="L1040" i="1"/>
  <c r="L1043" i="1"/>
  <c r="L1044" i="1"/>
  <c r="L1047" i="1"/>
  <c r="L1048" i="1"/>
  <c r="L1051" i="1"/>
  <c r="L1052" i="1"/>
  <c r="L1055" i="1"/>
  <c r="L1056" i="1"/>
  <c r="L1059" i="1"/>
  <c r="L1060" i="1"/>
  <c r="L1063" i="1"/>
  <c r="L1064" i="1"/>
  <c r="L1067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W934" i="1"/>
  <c r="X934" i="1" s="1"/>
  <c r="L934" i="1"/>
  <c r="W935" i="1"/>
  <c r="X935" i="1" s="1"/>
  <c r="L935" i="1"/>
  <c r="W936" i="1"/>
  <c r="X936" i="1" s="1"/>
  <c r="L936" i="1"/>
  <c r="L937" i="1"/>
  <c r="W938" i="1"/>
  <c r="X938" i="1" s="1"/>
  <c r="L938" i="1"/>
  <c r="L939" i="1"/>
  <c r="W940" i="1"/>
  <c r="X940" i="1" s="1"/>
  <c r="L940" i="1"/>
  <c r="W941" i="1"/>
  <c r="X941" i="1" s="1"/>
  <c r="L941" i="1"/>
  <c r="W942" i="1"/>
  <c r="X942" i="1" s="1"/>
  <c r="L942" i="1"/>
  <c r="W943" i="1"/>
  <c r="X943" i="1" s="1"/>
  <c r="L943" i="1"/>
  <c r="W944" i="1"/>
  <c r="X944" i="1" s="1"/>
  <c r="L944" i="1"/>
  <c r="L945" i="1"/>
  <c r="W946" i="1"/>
  <c r="X946" i="1" s="1"/>
  <c r="L946" i="1"/>
  <c r="L947" i="1"/>
  <c r="W948" i="1"/>
  <c r="X948" i="1" s="1"/>
  <c r="L948" i="1"/>
  <c r="W949" i="1"/>
  <c r="X949" i="1" s="1"/>
  <c r="L949" i="1"/>
  <c r="W950" i="1"/>
  <c r="X950" i="1" s="1"/>
  <c r="L950" i="1"/>
  <c r="W951" i="1"/>
  <c r="X951" i="1" s="1"/>
  <c r="L951" i="1"/>
  <c r="W952" i="1"/>
  <c r="X952" i="1" s="1"/>
  <c r="L952" i="1"/>
  <c r="L953" i="1"/>
  <c r="W954" i="1"/>
  <c r="X954" i="1" s="1"/>
  <c r="L954" i="1"/>
  <c r="L955" i="1"/>
  <c r="W956" i="1"/>
  <c r="X956" i="1" s="1"/>
  <c r="L956" i="1"/>
  <c r="W957" i="1"/>
  <c r="X957" i="1" s="1"/>
  <c r="L957" i="1"/>
  <c r="W958" i="1"/>
  <c r="X958" i="1" s="1"/>
  <c r="L958" i="1"/>
  <c r="W959" i="1"/>
  <c r="X959" i="1" s="1"/>
  <c r="L959" i="1"/>
  <c r="W960" i="1"/>
  <c r="X960" i="1" s="1"/>
  <c r="L960" i="1"/>
  <c r="L961" i="1"/>
  <c r="W962" i="1"/>
  <c r="X962" i="1" s="1"/>
  <c r="L962" i="1"/>
  <c r="L963" i="1"/>
  <c r="W964" i="1"/>
  <c r="X964" i="1" s="1"/>
  <c r="L964" i="1"/>
  <c r="W965" i="1"/>
  <c r="X965" i="1" s="1"/>
  <c r="L965" i="1"/>
  <c r="W966" i="1"/>
  <c r="X966" i="1" s="1"/>
  <c r="L966" i="1"/>
  <c r="W967" i="1"/>
  <c r="X967" i="1" s="1"/>
  <c r="L967" i="1"/>
  <c r="W968" i="1"/>
  <c r="X968" i="1" s="1"/>
  <c r="L969" i="1"/>
  <c r="W970" i="1"/>
  <c r="X970" i="1" s="1"/>
  <c r="L970" i="1"/>
  <c r="L971" i="1"/>
  <c r="W972" i="1"/>
  <c r="X972" i="1" s="1"/>
  <c r="W973" i="1"/>
  <c r="X973" i="1" s="1"/>
  <c r="L973" i="1"/>
  <c r="W974" i="1"/>
  <c r="X974" i="1" s="1"/>
  <c r="L974" i="1"/>
  <c r="W975" i="1"/>
  <c r="X975" i="1" s="1"/>
  <c r="L975" i="1"/>
  <c r="W976" i="1"/>
  <c r="X976" i="1" s="1"/>
  <c r="L977" i="1"/>
  <c r="W978" i="1"/>
  <c r="X978" i="1" s="1"/>
  <c r="L978" i="1"/>
  <c r="L979" i="1"/>
  <c r="W980" i="1"/>
  <c r="X980" i="1" s="1"/>
  <c r="W981" i="1"/>
  <c r="X981" i="1" s="1"/>
  <c r="L981" i="1"/>
  <c r="W982" i="1"/>
  <c r="X982" i="1" s="1"/>
  <c r="L982" i="1"/>
  <c r="W983" i="1"/>
  <c r="X983" i="1" s="1"/>
  <c r="L983" i="1"/>
  <c r="W984" i="1"/>
  <c r="X984" i="1" s="1"/>
  <c r="L985" i="1"/>
  <c r="W986" i="1"/>
  <c r="X986" i="1" s="1"/>
  <c r="L986" i="1"/>
  <c r="L987" i="1"/>
  <c r="W988" i="1"/>
  <c r="X988" i="1" s="1"/>
  <c r="W989" i="1"/>
  <c r="X989" i="1" s="1"/>
  <c r="L989" i="1"/>
  <c r="W990" i="1"/>
  <c r="X990" i="1" s="1"/>
  <c r="L990" i="1"/>
  <c r="W991" i="1"/>
  <c r="X991" i="1" s="1"/>
  <c r="L991" i="1"/>
  <c r="W992" i="1"/>
  <c r="X992" i="1" s="1"/>
  <c r="L993" i="1"/>
  <c r="W994" i="1"/>
  <c r="X994" i="1" s="1"/>
  <c r="L994" i="1"/>
  <c r="W996" i="1"/>
  <c r="X996" i="1" s="1"/>
  <c r="W997" i="1"/>
  <c r="X997" i="1" s="1"/>
  <c r="L997" i="1"/>
  <c r="W998" i="1"/>
  <c r="X998" i="1" s="1"/>
  <c r="L998" i="1"/>
  <c r="W999" i="1"/>
  <c r="X999" i="1" s="1"/>
  <c r="W1000" i="1"/>
  <c r="X1000" i="1" s="1"/>
  <c r="L1001" i="1"/>
  <c r="W1002" i="1"/>
  <c r="X1002" i="1" s="1"/>
  <c r="L1002" i="1"/>
  <c r="W1004" i="1"/>
  <c r="X1004" i="1" s="1"/>
  <c r="W1005" i="1"/>
  <c r="X1005" i="1" s="1"/>
  <c r="L1005" i="1"/>
  <c r="W1006" i="1"/>
  <c r="X1006" i="1" s="1"/>
  <c r="L1006" i="1"/>
  <c r="W1007" i="1"/>
  <c r="X1007" i="1" s="1"/>
  <c r="W1008" i="1"/>
  <c r="X1008" i="1" s="1"/>
  <c r="L1009" i="1"/>
  <c r="W1010" i="1"/>
  <c r="X1010" i="1" s="1"/>
  <c r="L1010" i="1"/>
  <c r="W1012" i="1"/>
  <c r="X1012" i="1" s="1"/>
  <c r="W1013" i="1"/>
  <c r="X1013" i="1" s="1"/>
  <c r="L1013" i="1"/>
  <c r="W1014" i="1"/>
  <c r="X1014" i="1" s="1"/>
  <c r="L1014" i="1"/>
  <c r="W1015" i="1"/>
  <c r="X1015" i="1" s="1"/>
  <c r="W1016" i="1"/>
  <c r="X1016" i="1" s="1"/>
  <c r="L1017" i="1"/>
  <c r="W1018" i="1"/>
  <c r="X1018" i="1" s="1"/>
  <c r="L1018" i="1"/>
  <c r="W1020" i="1"/>
  <c r="X1020" i="1" s="1"/>
  <c r="W1021" i="1"/>
  <c r="X1021" i="1" s="1"/>
  <c r="L1021" i="1"/>
  <c r="W1022" i="1"/>
  <c r="X1022" i="1" s="1"/>
  <c r="L1022" i="1"/>
  <c r="W1023" i="1"/>
  <c r="X1023" i="1" s="1"/>
  <c r="W1024" i="1"/>
  <c r="X1024" i="1" s="1"/>
  <c r="W1025" i="1"/>
  <c r="X1025" i="1" s="1"/>
  <c r="L1025" i="1"/>
  <c r="L1026" i="1"/>
  <c r="W1027" i="1"/>
  <c r="X1027" i="1" s="1"/>
  <c r="L1029" i="1"/>
  <c r="L1030" i="1"/>
  <c r="W1031" i="1"/>
  <c r="X1031" i="1" s="1"/>
  <c r="W1032" i="1"/>
  <c r="X1032" i="1" s="1"/>
  <c r="L1033" i="1"/>
  <c r="L1034" i="1"/>
  <c r="W1035" i="1"/>
  <c r="X1035" i="1" s="1"/>
  <c r="W1037" i="1"/>
  <c r="X1037" i="1" s="1"/>
  <c r="L1037" i="1"/>
  <c r="L1038" i="1"/>
  <c r="W1039" i="1"/>
  <c r="X1039" i="1" s="1"/>
  <c r="W1040" i="1"/>
  <c r="X1040" i="1" s="1"/>
  <c r="W1041" i="1"/>
  <c r="X1041" i="1" s="1"/>
  <c r="L1041" i="1"/>
  <c r="L1042" i="1"/>
  <c r="W1043" i="1"/>
  <c r="X1043" i="1" s="1"/>
  <c r="L1045" i="1"/>
  <c r="L1046" i="1"/>
  <c r="W1047" i="1"/>
  <c r="X1047" i="1" s="1"/>
  <c r="W1048" i="1"/>
  <c r="X1048" i="1" s="1"/>
  <c r="L1049" i="1"/>
  <c r="L1050" i="1"/>
  <c r="W1051" i="1"/>
  <c r="X1051" i="1" s="1"/>
  <c r="W1053" i="1"/>
  <c r="X1053" i="1" s="1"/>
  <c r="L1053" i="1"/>
  <c r="L1054" i="1"/>
  <c r="W1055" i="1"/>
  <c r="X1055" i="1" s="1"/>
  <c r="W1056" i="1"/>
  <c r="X1056" i="1" s="1"/>
  <c r="W1057" i="1"/>
  <c r="X1057" i="1" s="1"/>
  <c r="L1057" i="1"/>
  <c r="L1058" i="1"/>
  <c r="W1059" i="1"/>
  <c r="X1059" i="1" s="1"/>
  <c r="L1061" i="1"/>
  <c r="L1062" i="1"/>
  <c r="W1063" i="1"/>
  <c r="X1063" i="1" s="1"/>
  <c r="W1064" i="1"/>
  <c r="X1064" i="1" s="1"/>
  <c r="L1065" i="1"/>
  <c r="L1066" i="1"/>
  <c r="W1067" i="1"/>
  <c r="X1067" i="1" s="1"/>
  <c r="L1068" i="1"/>
  <c r="W1069" i="1"/>
  <c r="X1069" i="1" s="1"/>
  <c r="L1069" i="1"/>
  <c r="L1070" i="1"/>
  <c r="W1071" i="1"/>
  <c r="X1071" i="1" s="1"/>
  <c r="L1071" i="1"/>
  <c r="W1072" i="1"/>
  <c r="X1072" i="1" s="1"/>
  <c r="L1072" i="1"/>
  <c r="W1073" i="1"/>
  <c r="X1073" i="1" s="1"/>
  <c r="L1073" i="1"/>
  <c r="L1074" i="1"/>
  <c r="W1075" i="1"/>
  <c r="X1075" i="1" s="1"/>
  <c r="L1075" i="1"/>
  <c r="L1076" i="1"/>
  <c r="L1077" i="1"/>
  <c r="L1078" i="1"/>
  <c r="W1079" i="1"/>
  <c r="X1079" i="1" s="1"/>
  <c r="L1079" i="1"/>
  <c r="W1080" i="1"/>
  <c r="X1080" i="1" s="1"/>
  <c r="L1080" i="1"/>
  <c r="L1081" i="1"/>
  <c r="L1082" i="1"/>
  <c r="W1083" i="1"/>
  <c r="X1083" i="1" s="1"/>
  <c r="L1083" i="1"/>
  <c r="L1084" i="1"/>
  <c r="W1085" i="1"/>
  <c r="X1085" i="1" s="1"/>
  <c r="L1085" i="1"/>
  <c r="L1086" i="1"/>
  <c r="W1087" i="1"/>
  <c r="X1087" i="1" s="1"/>
  <c r="L1087" i="1"/>
  <c r="W1088" i="1"/>
  <c r="X1088" i="1" s="1"/>
  <c r="L1088" i="1"/>
  <c r="W1089" i="1"/>
  <c r="X1089" i="1" s="1"/>
  <c r="L1089" i="1"/>
  <c r="L1090" i="1"/>
  <c r="W1091" i="1"/>
  <c r="X1091" i="1" s="1"/>
  <c r="L1091" i="1"/>
  <c r="L1092" i="1"/>
  <c r="L1093" i="1"/>
  <c r="L1094" i="1"/>
  <c r="W1095" i="1"/>
  <c r="X1095" i="1" s="1"/>
  <c r="L1095" i="1"/>
  <c r="W1096" i="1"/>
  <c r="X1096" i="1" s="1"/>
  <c r="L1096" i="1"/>
  <c r="L1097" i="1"/>
  <c r="L1098" i="1"/>
  <c r="W1099" i="1"/>
  <c r="X1099" i="1" s="1"/>
  <c r="L1099" i="1"/>
  <c r="L1100" i="1"/>
  <c r="W1101" i="1"/>
  <c r="X1101" i="1" s="1"/>
  <c r="L1101" i="1"/>
  <c r="L1102" i="1"/>
  <c r="W1103" i="1"/>
  <c r="X1103" i="1" s="1"/>
  <c r="L1103" i="1"/>
  <c r="W1104" i="1"/>
  <c r="X1104" i="1" s="1"/>
  <c r="L1104" i="1"/>
  <c r="W1105" i="1"/>
  <c r="X1105" i="1" s="1"/>
  <c r="L1105" i="1"/>
  <c r="L1106" i="1"/>
  <c r="W1107" i="1"/>
  <c r="X1107" i="1" s="1"/>
  <c r="L1107" i="1"/>
  <c r="L1108" i="1"/>
  <c r="L1109" i="1"/>
  <c r="L1110" i="1"/>
  <c r="W1111" i="1"/>
  <c r="X1111" i="1" s="1"/>
  <c r="L1111" i="1"/>
  <c r="W1112" i="1"/>
  <c r="X1112" i="1" s="1"/>
  <c r="L1112" i="1"/>
  <c r="L1113" i="1"/>
  <c r="W1114" i="1"/>
  <c r="X1114" i="1" s="1"/>
  <c r="L1114" i="1"/>
  <c r="L1115" i="1"/>
  <c r="L1116" i="1"/>
  <c r="W1117" i="1"/>
  <c r="X1117" i="1" s="1"/>
  <c r="L1117" i="1"/>
  <c r="W1118" i="1"/>
  <c r="X1118" i="1" s="1"/>
  <c r="L1118" i="1"/>
  <c r="L1119" i="1"/>
  <c r="L1120" i="1"/>
  <c r="W1121" i="1"/>
  <c r="X1121" i="1" s="1"/>
  <c r="L1121" i="1"/>
  <c r="W1122" i="1"/>
  <c r="X1122" i="1" s="1"/>
  <c r="L1122" i="1"/>
  <c r="L1123" i="1"/>
  <c r="L1124" i="1"/>
  <c r="W1125" i="1"/>
  <c r="X1125" i="1" s="1"/>
  <c r="L1125" i="1"/>
  <c r="W1126" i="1"/>
  <c r="X1126" i="1" s="1"/>
  <c r="L1126" i="1"/>
  <c r="L1127" i="1"/>
  <c r="L1128" i="1"/>
  <c r="W1129" i="1"/>
  <c r="X1129" i="1" s="1"/>
  <c r="L1129" i="1"/>
  <c r="W1130" i="1"/>
  <c r="X1130" i="1" s="1"/>
  <c r="L1130" i="1"/>
  <c r="L1131" i="1"/>
  <c r="L1132" i="1"/>
  <c r="W1133" i="1"/>
  <c r="X1133" i="1" s="1"/>
  <c r="L1133" i="1"/>
  <c r="W1134" i="1"/>
  <c r="X1134" i="1" s="1"/>
  <c r="L1134" i="1"/>
  <c r="L1135" i="1"/>
  <c r="L1136" i="1"/>
  <c r="W1137" i="1"/>
  <c r="X1137" i="1" s="1"/>
  <c r="L1137" i="1"/>
  <c r="W1138" i="1"/>
  <c r="X1138" i="1" s="1"/>
  <c r="L1138" i="1"/>
  <c r="L1139" i="1"/>
  <c r="L1140" i="1"/>
  <c r="W1141" i="1"/>
  <c r="X1141" i="1" s="1"/>
  <c r="L1141" i="1"/>
  <c r="W1142" i="1"/>
  <c r="X1142" i="1" s="1"/>
  <c r="L1142" i="1"/>
  <c r="L1143" i="1"/>
  <c r="L1144" i="1"/>
  <c r="W1145" i="1"/>
  <c r="X1145" i="1" s="1"/>
  <c r="L1145" i="1"/>
  <c r="W1146" i="1"/>
  <c r="X1146" i="1" s="1"/>
  <c r="L1146" i="1"/>
  <c r="L1147" i="1"/>
  <c r="L1148" i="1"/>
  <c r="W1149" i="1"/>
  <c r="X1149" i="1" s="1"/>
  <c r="L1149" i="1"/>
  <c r="W1150" i="1"/>
  <c r="X1150" i="1" s="1"/>
  <c r="L1150" i="1"/>
  <c r="L1151" i="1"/>
  <c r="L1152" i="1"/>
  <c r="W1153" i="1"/>
  <c r="X1153" i="1" s="1"/>
  <c r="L1153" i="1"/>
  <c r="W1154" i="1"/>
  <c r="X1154" i="1" s="1"/>
  <c r="L1154" i="1"/>
  <c r="L1155" i="1"/>
  <c r="L1156" i="1"/>
  <c r="W1157" i="1"/>
  <c r="X1157" i="1" s="1"/>
  <c r="L1157" i="1"/>
  <c r="W1158" i="1"/>
  <c r="X1158" i="1" s="1"/>
  <c r="L1158" i="1"/>
  <c r="L1159" i="1"/>
  <c r="L1160" i="1"/>
  <c r="W1161" i="1"/>
  <c r="X1161" i="1" s="1"/>
  <c r="L1161" i="1"/>
  <c r="W1162" i="1"/>
  <c r="X1162" i="1" s="1"/>
  <c r="L1162" i="1"/>
  <c r="L1163" i="1"/>
  <c r="L1164" i="1"/>
  <c r="W1165" i="1"/>
  <c r="X1165" i="1" s="1"/>
  <c r="L1165" i="1"/>
  <c r="W1166" i="1"/>
  <c r="X1166" i="1" s="1"/>
  <c r="L1166" i="1"/>
  <c r="L1167" i="1"/>
  <c r="L1168" i="1"/>
  <c r="W1169" i="1"/>
  <c r="X1169" i="1" s="1"/>
  <c r="L1169" i="1"/>
  <c r="W1170" i="1"/>
  <c r="X1170" i="1" s="1"/>
  <c r="L1170" i="1"/>
  <c r="L1171" i="1"/>
  <c r="L1172" i="1"/>
  <c r="W1173" i="1"/>
  <c r="X1173" i="1" s="1"/>
  <c r="L1173" i="1"/>
  <c r="W1174" i="1"/>
  <c r="X1174" i="1" s="1"/>
  <c r="L1174" i="1"/>
  <c r="L1175" i="1"/>
  <c r="L1176" i="1"/>
  <c r="W1177" i="1"/>
  <c r="X1177" i="1" s="1"/>
  <c r="L1177" i="1"/>
  <c r="W1178" i="1"/>
  <c r="X1178" i="1" s="1"/>
  <c r="L1178" i="1"/>
  <c r="L1179" i="1"/>
  <c r="L1180" i="1"/>
  <c r="W1181" i="1"/>
  <c r="X1181" i="1" s="1"/>
  <c r="L1181" i="1"/>
  <c r="W1182" i="1"/>
  <c r="X1182" i="1" s="1"/>
  <c r="L1182" i="1"/>
  <c r="L1183" i="1"/>
  <c r="L1184" i="1"/>
  <c r="W1185" i="1"/>
  <c r="X1185" i="1" s="1"/>
  <c r="L1185" i="1"/>
  <c r="W1186" i="1"/>
  <c r="X1186" i="1" s="1"/>
  <c r="L1186" i="1"/>
  <c r="L1187" i="1"/>
  <c r="L1188" i="1"/>
  <c r="W1189" i="1"/>
  <c r="X1189" i="1" s="1"/>
  <c r="L1189" i="1"/>
  <c r="W1190" i="1"/>
  <c r="X1190" i="1" s="1"/>
  <c r="L1190" i="1"/>
  <c r="L1191" i="1"/>
  <c r="W1192" i="1"/>
  <c r="X1192" i="1" s="1"/>
  <c r="L1192" i="1"/>
  <c r="W1193" i="1"/>
  <c r="X1193" i="1" s="1"/>
  <c r="L1193" i="1"/>
  <c r="W1194" i="1"/>
  <c r="X1194" i="1" s="1"/>
  <c r="L1194" i="1"/>
  <c r="W1195" i="1"/>
  <c r="X1195" i="1" s="1"/>
  <c r="L1195" i="1"/>
  <c r="W1196" i="1"/>
  <c r="X1196" i="1" s="1"/>
  <c r="L1196" i="1"/>
  <c r="W1197" i="1"/>
  <c r="X1197" i="1" s="1"/>
  <c r="L1197" i="1"/>
  <c r="W1198" i="1"/>
  <c r="X1198" i="1" s="1"/>
  <c r="L1198" i="1"/>
  <c r="W1199" i="1"/>
  <c r="X1199" i="1" s="1"/>
  <c r="L1199" i="1"/>
  <c r="W1200" i="1"/>
  <c r="X1200" i="1" s="1"/>
  <c r="L1200" i="1"/>
  <c r="W1201" i="1"/>
  <c r="X1201" i="1" s="1"/>
  <c r="L1201" i="1"/>
  <c r="W1202" i="1"/>
  <c r="X1202" i="1" s="1"/>
  <c r="L1202" i="1"/>
  <c r="W1203" i="1"/>
  <c r="X1203" i="1" s="1"/>
  <c r="L1203" i="1"/>
  <c r="W1204" i="1"/>
  <c r="X1204" i="1" s="1"/>
  <c r="L1204" i="1"/>
  <c r="W1205" i="1"/>
  <c r="X1205" i="1" s="1"/>
  <c r="L1205" i="1"/>
  <c r="W1206" i="1"/>
  <c r="X1206" i="1" s="1"/>
  <c r="L1206" i="1"/>
  <c r="W1207" i="1"/>
  <c r="X1207" i="1" s="1"/>
  <c r="L1207" i="1"/>
  <c r="W1208" i="1"/>
  <c r="X1208" i="1" s="1"/>
  <c r="L1208" i="1"/>
  <c r="W1209" i="1"/>
  <c r="X1209" i="1" s="1"/>
  <c r="L1209" i="1"/>
  <c r="W1210" i="1"/>
  <c r="X1210" i="1" s="1"/>
  <c r="L1210" i="1"/>
  <c r="W1211" i="1"/>
  <c r="X1211" i="1" s="1"/>
  <c r="L1211" i="1"/>
  <c r="W1212" i="1"/>
  <c r="X1212" i="1" s="1"/>
  <c r="L1212" i="1"/>
  <c r="W1213" i="1"/>
  <c r="X1213" i="1" s="1"/>
  <c r="L1213" i="1"/>
  <c r="W1214" i="1"/>
  <c r="X1214" i="1" s="1"/>
  <c r="L1214" i="1"/>
  <c r="W1215" i="1"/>
  <c r="X1215" i="1" s="1"/>
  <c r="L1215" i="1"/>
  <c r="W1216" i="1"/>
  <c r="X1216" i="1" s="1"/>
  <c r="L1216" i="1"/>
  <c r="W1217" i="1"/>
  <c r="X1217" i="1" s="1"/>
  <c r="L1217" i="1"/>
  <c r="W1218" i="1"/>
  <c r="X1218" i="1" s="1"/>
  <c r="L1218" i="1"/>
  <c r="W1219" i="1"/>
  <c r="X1219" i="1" s="1"/>
  <c r="L1219" i="1"/>
  <c r="W1220" i="1"/>
  <c r="X1220" i="1" s="1"/>
  <c r="L1220" i="1"/>
  <c r="W1221" i="1"/>
  <c r="X1221" i="1" s="1"/>
  <c r="L1221" i="1"/>
  <c r="W1222" i="1"/>
  <c r="X1222" i="1" s="1"/>
  <c r="L1222" i="1"/>
  <c r="W1223" i="1"/>
  <c r="X1223" i="1" s="1"/>
  <c r="L1223" i="1"/>
  <c r="W1224" i="1"/>
  <c r="X1224" i="1" s="1"/>
  <c r="L1224" i="1"/>
  <c r="W1225" i="1"/>
  <c r="X1225" i="1" s="1"/>
  <c r="L1225" i="1"/>
  <c r="W1226" i="1"/>
  <c r="X1226" i="1" s="1"/>
  <c r="L1226" i="1"/>
  <c r="W1227" i="1"/>
  <c r="X1227" i="1" s="1"/>
  <c r="L1227" i="1"/>
  <c r="W1228" i="1"/>
  <c r="X1228" i="1" s="1"/>
  <c r="L1228" i="1"/>
  <c r="W1229" i="1"/>
  <c r="X1229" i="1" s="1"/>
  <c r="L1229" i="1"/>
  <c r="W1230" i="1"/>
  <c r="X1230" i="1" s="1"/>
  <c r="L1230" i="1"/>
  <c r="W1231" i="1"/>
  <c r="X1231" i="1" s="1"/>
  <c r="L1231" i="1"/>
  <c r="W1232" i="1"/>
  <c r="X1232" i="1" s="1"/>
  <c r="L1232" i="1"/>
  <c r="W1233" i="1"/>
  <c r="X1233" i="1" s="1"/>
  <c r="L1233" i="1"/>
  <c r="W1234" i="1"/>
  <c r="X1234" i="1" s="1"/>
  <c r="L1234" i="1"/>
  <c r="W1235" i="1"/>
  <c r="X1235" i="1" s="1"/>
  <c r="L1235" i="1"/>
  <c r="W1236" i="1"/>
  <c r="X1236" i="1" s="1"/>
  <c r="L1236" i="1"/>
  <c r="W1237" i="1"/>
  <c r="X1237" i="1" s="1"/>
  <c r="L1237" i="1"/>
  <c r="W1238" i="1"/>
  <c r="X1238" i="1" s="1"/>
  <c r="L1238" i="1"/>
  <c r="W1239" i="1"/>
  <c r="X1239" i="1" s="1"/>
  <c r="L1239" i="1"/>
  <c r="W1240" i="1"/>
  <c r="X1240" i="1" s="1"/>
  <c r="L1240" i="1"/>
  <c r="W1241" i="1"/>
  <c r="X1241" i="1" s="1"/>
  <c r="L1241" i="1"/>
  <c r="W1242" i="1"/>
  <c r="X1242" i="1" s="1"/>
  <c r="L1242" i="1"/>
  <c r="W1243" i="1"/>
  <c r="X1243" i="1" s="1"/>
  <c r="L1243" i="1"/>
  <c r="W1244" i="1"/>
  <c r="X1244" i="1" s="1"/>
  <c r="L1244" i="1"/>
  <c r="W1245" i="1"/>
  <c r="X1245" i="1" s="1"/>
  <c r="L1245" i="1"/>
  <c r="W1246" i="1"/>
  <c r="X1246" i="1" s="1"/>
  <c r="L1246" i="1"/>
  <c r="W1247" i="1"/>
  <c r="X1247" i="1" s="1"/>
  <c r="L1247" i="1"/>
  <c r="W1248" i="1"/>
  <c r="X1248" i="1" s="1"/>
  <c r="L1248" i="1"/>
  <c r="W1249" i="1"/>
  <c r="X1249" i="1" s="1"/>
  <c r="L1249" i="1"/>
  <c r="W1250" i="1"/>
  <c r="X1250" i="1" s="1"/>
  <c r="L1250" i="1"/>
  <c r="W1251" i="1"/>
  <c r="X1251" i="1" s="1"/>
  <c r="L1251" i="1"/>
  <c r="W1252" i="1"/>
  <c r="X1252" i="1" s="1"/>
  <c r="L1252" i="1"/>
  <c r="W1253" i="1"/>
  <c r="X1253" i="1" s="1"/>
  <c r="L1253" i="1"/>
  <c r="W1254" i="1"/>
  <c r="X1254" i="1" s="1"/>
  <c r="L1254" i="1"/>
  <c r="W1255" i="1"/>
  <c r="X1255" i="1" s="1"/>
  <c r="L1255" i="1"/>
  <c r="W1256" i="1"/>
  <c r="X1256" i="1" s="1"/>
  <c r="L1256" i="1"/>
  <c r="W1257" i="1"/>
  <c r="X1257" i="1" s="1"/>
  <c r="L1257" i="1"/>
  <c r="W1258" i="1"/>
  <c r="X1258" i="1" s="1"/>
  <c r="L1258" i="1"/>
  <c r="W1259" i="1"/>
  <c r="X1259" i="1" s="1"/>
  <c r="L1259" i="1"/>
  <c r="W1260" i="1"/>
  <c r="X1260" i="1" s="1"/>
  <c r="L1260" i="1"/>
  <c r="W1261" i="1"/>
  <c r="X1261" i="1" s="1"/>
  <c r="L1261" i="1"/>
  <c r="W1262" i="1"/>
  <c r="X1262" i="1" s="1"/>
  <c r="L1262" i="1"/>
  <c r="W1263" i="1"/>
  <c r="X1263" i="1" s="1"/>
  <c r="L1263" i="1"/>
  <c r="W1264" i="1"/>
  <c r="X1264" i="1" s="1"/>
  <c r="L1264" i="1"/>
  <c r="W1265" i="1"/>
  <c r="X1265" i="1" s="1"/>
  <c r="L1265" i="1"/>
  <c r="W1266" i="1"/>
  <c r="X1266" i="1" s="1"/>
  <c r="L1266" i="1"/>
  <c r="W1267" i="1"/>
  <c r="X1267" i="1" s="1"/>
  <c r="L1267" i="1"/>
  <c r="W1268" i="1"/>
  <c r="X1268" i="1" s="1"/>
  <c r="L1268" i="1"/>
  <c r="W1269" i="1"/>
  <c r="X1269" i="1" s="1"/>
  <c r="L1269" i="1"/>
  <c r="W1270" i="1"/>
  <c r="X1270" i="1" s="1"/>
  <c r="L1270" i="1"/>
  <c r="W1271" i="1"/>
  <c r="X1271" i="1" s="1"/>
  <c r="L1271" i="1"/>
  <c r="W1272" i="1"/>
  <c r="X1272" i="1" s="1"/>
  <c r="L1272" i="1"/>
  <c r="W1273" i="1"/>
  <c r="X1273" i="1" s="1"/>
  <c r="L1273" i="1"/>
  <c r="W1274" i="1"/>
  <c r="X1274" i="1" s="1"/>
  <c r="L1274" i="1"/>
  <c r="W1275" i="1"/>
  <c r="X1275" i="1" s="1"/>
  <c r="L1275" i="1"/>
  <c r="W1276" i="1"/>
  <c r="X1276" i="1" s="1"/>
  <c r="L1276" i="1"/>
  <c r="W1277" i="1"/>
  <c r="X1277" i="1" s="1"/>
  <c r="L1277" i="1"/>
  <c r="W1278" i="1"/>
  <c r="X1278" i="1" s="1"/>
  <c r="L1278" i="1"/>
  <c r="W1279" i="1"/>
  <c r="X1279" i="1" s="1"/>
  <c r="L1279" i="1"/>
  <c r="W1280" i="1"/>
  <c r="X1280" i="1" s="1"/>
  <c r="L1280" i="1"/>
  <c r="W1281" i="1"/>
  <c r="X1281" i="1" s="1"/>
  <c r="L1281" i="1"/>
  <c r="W1282" i="1"/>
  <c r="X1282" i="1" s="1"/>
  <c r="L1282" i="1"/>
  <c r="W1283" i="1"/>
  <c r="X1283" i="1" s="1"/>
  <c r="L1283" i="1"/>
  <c r="W1284" i="1"/>
  <c r="X1284" i="1" s="1"/>
  <c r="L1284" i="1"/>
  <c r="W1285" i="1"/>
  <c r="X1285" i="1" s="1"/>
  <c r="L1285" i="1"/>
  <c r="W1286" i="1"/>
  <c r="X1286" i="1" s="1"/>
  <c r="L1286" i="1"/>
  <c r="W1287" i="1"/>
  <c r="X1287" i="1" s="1"/>
  <c r="L1287" i="1"/>
  <c r="W1288" i="1"/>
  <c r="X1288" i="1" s="1"/>
  <c r="L1288" i="1"/>
  <c r="W1289" i="1"/>
  <c r="X1289" i="1" s="1"/>
  <c r="L1289" i="1"/>
  <c r="W1290" i="1"/>
  <c r="X1290" i="1" s="1"/>
  <c r="L1290" i="1"/>
  <c r="W1291" i="1"/>
  <c r="X1291" i="1" s="1"/>
  <c r="L1291" i="1"/>
  <c r="W1292" i="1"/>
  <c r="X1292" i="1" s="1"/>
  <c r="L1292" i="1"/>
  <c r="W1293" i="1"/>
  <c r="X1293" i="1" s="1"/>
  <c r="L1293" i="1"/>
  <c r="W1294" i="1"/>
  <c r="X1294" i="1" s="1"/>
  <c r="L1294" i="1"/>
  <c r="W1295" i="1"/>
  <c r="X1295" i="1" s="1"/>
  <c r="L1295" i="1"/>
  <c r="W1296" i="1"/>
  <c r="X1296" i="1" s="1"/>
  <c r="L1296" i="1"/>
  <c r="W1297" i="1"/>
  <c r="X1297" i="1" s="1"/>
  <c r="L1297" i="1"/>
  <c r="W1298" i="1"/>
  <c r="X1298" i="1" s="1"/>
  <c r="L1298" i="1"/>
  <c r="W1299" i="1"/>
  <c r="X1299" i="1" s="1"/>
  <c r="L1299" i="1"/>
  <c r="W1300" i="1"/>
  <c r="X1300" i="1" s="1"/>
  <c r="L1300" i="1"/>
  <c r="W1301" i="1"/>
  <c r="X1301" i="1" s="1"/>
  <c r="L1301" i="1"/>
  <c r="W1302" i="1"/>
  <c r="X1302" i="1" s="1"/>
  <c r="L1302" i="1"/>
  <c r="W1303" i="1"/>
  <c r="X1303" i="1" s="1"/>
  <c r="L1303" i="1"/>
  <c r="W1304" i="1"/>
  <c r="X1304" i="1" s="1"/>
  <c r="L1304" i="1"/>
  <c r="W1305" i="1"/>
  <c r="X1305" i="1" s="1"/>
  <c r="L1305" i="1"/>
  <c r="W1306" i="1"/>
  <c r="X1306" i="1" s="1"/>
  <c r="L1306" i="1"/>
  <c r="W1307" i="1"/>
  <c r="X1307" i="1" s="1"/>
  <c r="L1307" i="1"/>
  <c r="W1308" i="1"/>
  <c r="X1308" i="1" s="1"/>
  <c r="L1308" i="1"/>
  <c r="W1309" i="1"/>
  <c r="X1309" i="1" s="1"/>
  <c r="L1309" i="1"/>
  <c r="W1310" i="1"/>
  <c r="X1310" i="1" s="1"/>
  <c r="L1310" i="1"/>
  <c r="W1311" i="1"/>
  <c r="X1311" i="1" s="1"/>
  <c r="L1311" i="1"/>
  <c r="W1312" i="1"/>
  <c r="X1312" i="1" s="1"/>
  <c r="L1312" i="1"/>
  <c r="W1313" i="1"/>
  <c r="X1313" i="1" s="1"/>
  <c r="L1313" i="1"/>
  <c r="W1314" i="1"/>
  <c r="X1314" i="1" s="1"/>
  <c r="L1314" i="1"/>
  <c r="W1315" i="1"/>
  <c r="X1315" i="1" s="1"/>
  <c r="L1315" i="1"/>
  <c r="W1316" i="1"/>
  <c r="X1316" i="1" s="1"/>
  <c r="L1316" i="1"/>
  <c r="W1317" i="1"/>
  <c r="X1317" i="1" s="1"/>
  <c r="L1317" i="1"/>
  <c r="W1318" i="1"/>
  <c r="X1318" i="1" s="1"/>
  <c r="L1318" i="1"/>
  <c r="W1319" i="1"/>
  <c r="X1319" i="1" s="1"/>
  <c r="L1319" i="1"/>
  <c r="W1320" i="1"/>
  <c r="X1320" i="1" s="1"/>
  <c r="L1320" i="1"/>
  <c r="W1321" i="1"/>
  <c r="X1321" i="1" s="1"/>
  <c r="L1321" i="1"/>
  <c r="W1322" i="1"/>
  <c r="X1322" i="1" s="1"/>
  <c r="L1322" i="1"/>
  <c r="W1323" i="1"/>
  <c r="X1323" i="1" s="1"/>
  <c r="L1323" i="1"/>
  <c r="W1324" i="1"/>
  <c r="X1324" i="1" s="1"/>
  <c r="L1324" i="1"/>
  <c r="W1325" i="1"/>
  <c r="X1325" i="1" s="1"/>
  <c r="L1325" i="1"/>
  <c r="W1326" i="1"/>
  <c r="X1326" i="1" s="1"/>
  <c r="L1326" i="1"/>
  <c r="W1327" i="1"/>
  <c r="X1327" i="1" s="1"/>
  <c r="L1327" i="1"/>
  <c r="W1328" i="1"/>
  <c r="X1328" i="1" s="1"/>
  <c r="L1328" i="1"/>
  <c r="W1329" i="1"/>
  <c r="X1329" i="1" s="1"/>
  <c r="L1329" i="1"/>
  <c r="W1330" i="1"/>
  <c r="X1330" i="1" s="1"/>
  <c r="L1330" i="1"/>
  <c r="W1331" i="1"/>
  <c r="X1331" i="1" s="1"/>
  <c r="L1331" i="1"/>
  <c r="W1332" i="1"/>
  <c r="X1332" i="1" s="1"/>
  <c r="L1332" i="1"/>
  <c r="W1333" i="1"/>
  <c r="X1333" i="1" s="1"/>
  <c r="L1333" i="1"/>
  <c r="W1334" i="1"/>
  <c r="X1334" i="1" s="1"/>
  <c r="L1334" i="1"/>
  <c r="W1335" i="1"/>
  <c r="X1335" i="1" s="1"/>
  <c r="L1335" i="1"/>
  <c r="W1336" i="1"/>
  <c r="X1336" i="1" s="1"/>
  <c r="L1336" i="1"/>
  <c r="W1337" i="1"/>
  <c r="X1337" i="1" s="1"/>
  <c r="L1337" i="1"/>
  <c r="W1338" i="1"/>
  <c r="X1338" i="1" s="1"/>
  <c r="L1338" i="1"/>
  <c r="W1339" i="1"/>
  <c r="X1339" i="1" s="1"/>
  <c r="L1339" i="1"/>
  <c r="W1340" i="1"/>
  <c r="X1340" i="1" s="1"/>
  <c r="L1340" i="1"/>
  <c r="W1341" i="1"/>
  <c r="X1341" i="1" s="1"/>
  <c r="L1341" i="1"/>
  <c r="W1342" i="1"/>
  <c r="X1342" i="1" s="1"/>
  <c r="L1342" i="1"/>
  <c r="W1343" i="1"/>
  <c r="X1343" i="1" s="1"/>
  <c r="L1343" i="1"/>
  <c r="W1344" i="1"/>
  <c r="X1344" i="1" s="1"/>
  <c r="L1344" i="1"/>
  <c r="W1345" i="1"/>
  <c r="X1345" i="1" s="1"/>
  <c r="L1345" i="1"/>
  <c r="W1346" i="1"/>
  <c r="X1346" i="1" s="1"/>
  <c r="L1346" i="1"/>
  <c r="W1347" i="1"/>
  <c r="X1347" i="1" s="1"/>
  <c r="L1347" i="1"/>
  <c r="W1348" i="1"/>
  <c r="X1348" i="1" s="1"/>
  <c r="L1348" i="1"/>
  <c r="W1349" i="1"/>
  <c r="X1349" i="1" s="1"/>
  <c r="L1349" i="1"/>
  <c r="W1350" i="1"/>
  <c r="X1350" i="1" s="1"/>
  <c r="L1350" i="1"/>
  <c r="W1351" i="1"/>
  <c r="X1351" i="1" s="1"/>
  <c r="L1351" i="1"/>
  <c r="W1352" i="1"/>
  <c r="X1352" i="1" s="1"/>
  <c r="L1352" i="1"/>
  <c r="W1353" i="1"/>
  <c r="X1353" i="1" s="1"/>
  <c r="L1353" i="1"/>
  <c r="W1354" i="1"/>
  <c r="X1354" i="1" s="1"/>
  <c r="L1354" i="1"/>
  <c r="W1355" i="1"/>
  <c r="X1355" i="1" s="1"/>
  <c r="L1355" i="1"/>
  <c r="W1356" i="1"/>
  <c r="X1356" i="1" s="1"/>
  <c r="L1356" i="1"/>
  <c r="L1020" i="1"/>
  <c r="L1012" i="1"/>
  <c r="L1004" i="1"/>
  <c r="L996" i="1"/>
  <c r="L984" i="1"/>
  <c r="L968" i="1"/>
  <c r="W1033" i="1"/>
  <c r="X1033" i="1" s="1"/>
  <c r="W1045" i="1"/>
  <c r="X1045" i="1" s="1"/>
  <c r="W1065" i="1"/>
  <c r="X1065" i="1" s="1"/>
  <c r="W1077" i="1"/>
  <c r="X1077" i="1" s="1"/>
  <c r="W1097" i="1"/>
  <c r="X1097" i="1" s="1"/>
  <c r="W1109" i="1"/>
  <c r="X1109" i="1" s="1"/>
  <c r="W945" i="1"/>
  <c r="X945" i="1" s="1"/>
  <c r="W953" i="1"/>
  <c r="X953" i="1" s="1"/>
  <c r="W961" i="1"/>
  <c r="X961" i="1" s="1"/>
  <c r="W969" i="1"/>
  <c r="X969" i="1" s="1"/>
  <c r="W977" i="1"/>
  <c r="X977" i="1" s="1"/>
  <c r="W985" i="1"/>
  <c r="X985" i="1" s="1"/>
  <c r="W993" i="1"/>
  <c r="X993" i="1" s="1"/>
  <c r="W1001" i="1"/>
  <c r="X1001" i="1" s="1"/>
  <c r="W1009" i="1"/>
  <c r="X1009" i="1" s="1"/>
  <c r="W1017" i="1"/>
  <c r="X1017" i="1" s="1"/>
  <c r="W937" i="1"/>
  <c r="X937" i="1" s="1"/>
  <c r="W939" i="1"/>
  <c r="X939" i="1" s="1"/>
  <c r="W947" i="1"/>
  <c r="X947" i="1" s="1"/>
  <c r="W955" i="1"/>
  <c r="X955" i="1" s="1"/>
  <c r="W963" i="1"/>
  <c r="X963" i="1" s="1"/>
  <c r="W971" i="1"/>
  <c r="X971" i="1" s="1"/>
  <c r="W979" i="1"/>
  <c r="X979" i="1" s="1"/>
  <c r="W987" i="1"/>
  <c r="X987" i="1" s="1"/>
  <c r="W995" i="1"/>
  <c r="X995" i="1" s="1"/>
  <c r="W1003" i="1"/>
  <c r="X1003" i="1" s="1"/>
  <c r="W1011" i="1"/>
  <c r="X1011" i="1" s="1"/>
  <c r="W1019" i="1"/>
  <c r="X1019" i="1" s="1"/>
  <c r="W1029" i="1"/>
  <c r="X1029" i="1" s="1"/>
  <c r="W1049" i="1"/>
  <c r="X1049" i="1" s="1"/>
  <c r="W1061" i="1"/>
  <c r="X1061" i="1" s="1"/>
  <c r="W1081" i="1"/>
  <c r="X1081" i="1" s="1"/>
  <c r="W1093" i="1"/>
  <c r="X1093" i="1" s="1"/>
  <c r="W1030" i="1"/>
  <c r="X1030" i="1" s="1"/>
  <c r="W1038" i="1"/>
  <c r="X1038" i="1" s="1"/>
  <c r="W1046" i="1"/>
  <c r="X1046" i="1" s="1"/>
  <c r="W1054" i="1"/>
  <c r="X1054" i="1" s="1"/>
  <c r="W1062" i="1"/>
  <c r="X1062" i="1" s="1"/>
  <c r="W1070" i="1"/>
  <c r="X1070" i="1" s="1"/>
  <c r="W1078" i="1"/>
  <c r="X1078" i="1" s="1"/>
  <c r="W1086" i="1"/>
  <c r="X1086" i="1" s="1"/>
  <c r="W1094" i="1"/>
  <c r="X1094" i="1" s="1"/>
  <c r="W1102" i="1"/>
  <c r="X1102" i="1" s="1"/>
  <c r="W1110" i="1"/>
  <c r="X1110" i="1" s="1"/>
  <c r="W1113" i="1"/>
  <c r="X1113" i="1" s="1"/>
  <c r="W1119" i="1"/>
  <c r="X1119" i="1" s="1"/>
  <c r="W1120" i="1"/>
  <c r="X1120" i="1" s="1"/>
  <c r="W1127" i="1"/>
  <c r="X1127" i="1" s="1"/>
  <c r="W1128" i="1"/>
  <c r="X1128" i="1" s="1"/>
  <c r="W1135" i="1"/>
  <c r="X1135" i="1" s="1"/>
  <c r="W1136" i="1"/>
  <c r="X1136" i="1" s="1"/>
  <c r="W1143" i="1"/>
  <c r="X1143" i="1" s="1"/>
  <c r="W1144" i="1"/>
  <c r="X1144" i="1" s="1"/>
  <c r="W1151" i="1"/>
  <c r="X1151" i="1" s="1"/>
  <c r="W1152" i="1"/>
  <c r="X1152" i="1" s="1"/>
  <c r="W1159" i="1"/>
  <c r="X1159" i="1" s="1"/>
  <c r="W1160" i="1"/>
  <c r="X1160" i="1" s="1"/>
  <c r="W1167" i="1"/>
  <c r="X1167" i="1" s="1"/>
  <c r="W1168" i="1"/>
  <c r="X1168" i="1" s="1"/>
  <c r="W1175" i="1"/>
  <c r="X1175" i="1" s="1"/>
  <c r="W1176" i="1"/>
  <c r="X1176" i="1" s="1"/>
  <c r="W1183" i="1"/>
  <c r="X1183" i="1" s="1"/>
  <c r="W1184" i="1"/>
  <c r="X1184" i="1" s="1"/>
  <c r="W1028" i="1"/>
  <c r="X1028" i="1" s="1"/>
  <c r="W1036" i="1"/>
  <c r="X1036" i="1" s="1"/>
  <c r="W1044" i="1"/>
  <c r="X1044" i="1" s="1"/>
  <c r="W1052" i="1"/>
  <c r="X1052" i="1" s="1"/>
  <c r="W1060" i="1"/>
  <c r="X1060" i="1" s="1"/>
  <c r="W1068" i="1"/>
  <c r="X1068" i="1" s="1"/>
  <c r="W1076" i="1"/>
  <c r="X1076" i="1" s="1"/>
  <c r="W1084" i="1"/>
  <c r="X1084" i="1" s="1"/>
  <c r="W1092" i="1"/>
  <c r="X1092" i="1" s="1"/>
  <c r="W1100" i="1"/>
  <c r="X1100" i="1" s="1"/>
  <c r="W1108" i="1"/>
  <c r="X1108" i="1" s="1"/>
  <c r="W1026" i="1"/>
  <c r="X1026" i="1" s="1"/>
  <c r="W1034" i="1"/>
  <c r="X1034" i="1" s="1"/>
  <c r="W1042" i="1"/>
  <c r="X1042" i="1" s="1"/>
  <c r="W1050" i="1"/>
  <c r="X1050" i="1" s="1"/>
  <c r="W1058" i="1"/>
  <c r="X1058" i="1" s="1"/>
  <c r="W1066" i="1"/>
  <c r="X1066" i="1" s="1"/>
  <c r="W1074" i="1"/>
  <c r="X1074" i="1" s="1"/>
  <c r="W1082" i="1"/>
  <c r="X1082" i="1" s="1"/>
  <c r="W1090" i="1"/>
  <c r="X1090" i="1" s="1"/>
  <c r="W1098" i="1"/>
  <c r="X1098" i="1" s="1"/>
  <c r="W1106" i="1"/>
  <c r="X1106" i="1" s="1"/>
  <c r="W1115" i="1"/>
  <c r="X1115" i="1" s="1"/>
  <c r="W1116" i="1"/>
  <c r="X1116" i="1" s="1"/>
  <c r="W1123" i="1"/>
  <c r="X1123" i="1" s="1"/>
  <c r="W1124" i="1"/>
  <c r="X1124" i="1" s="1"/>
  <c r="W1131" i="1"/>
  <c r="X1131" i="1" s="1"/>
  <c r="W1132" i="1"/>
  <c r="X1132" i="1" s="1"/>
  <c r="W1139" i="1"/>
  <c r="X1139" i="1" s="1"/>
  <c r="W1140" i="1"/>
  <c r="X1140" i="1" s="1"/>
  <c r="W1147" i="1"/>
  <c r="X1147" i="1" s="1"/>
  <c r="W1148" i="1"/>
  <c r="X1148" i="1" s="1"/>
  <c r="W1155" i="1"/>
  <c r="X1155" i="1" s="1"/>
  <c r="W1156" i="1"/>
  <c r="X1156" i="1" s="1"/>
  <c r="W1163" i="1"/>
  <c r="X1163" i="1" s="1"/>
  <c r="W1164" i="1"/>
  <c r="X1164" i="1" s="1"/>
  <c r="W1171" i="1"/>
  <c r="X1171" i="1" s="1"/>
  <c r="W1172" i="1"/>
  <c r="X1172" i="1" s="1"/>
  <c r="W1179" i="1"/>
  <c r="X1179" i="1" s="1"/>
  <c r="W1180" i="1"/>
  <c r="X1180" i="1" s="1"/>
  <c r="W1187" i="1"/>
  <c r="X1187" i="1" s="1"/>
  <c r="W1188" i="1"/>
  <c r="X1188" i="1" s="1"/>
  <c r="W1191" i="1"/>
  <c r="X1191" i="1" s="1"/>
  <c r="W690" i="1"/>
  <c r="X690" i="1" s="1"/>
  <c r="W692" i="1"/>
  <c r="X692" i="1" s="1"/>
  <c r="W694" i="1"/>
  <c r="X694" i="1" s="1"/>
  <c r="W698" i="1"/>
  <c r="X698" i="1" s="1"/>
  <c r="W700" i="1"/>
  <c r="X700" i="1" s="1"/>
  <c r="W702" i="1"/>
  <c r="X702" i="1" s="1"/>
  <c r="W708" i="1"/>
  <c r="X708" i="1" s="1"/>
  <c r="W710" i="1"/>
  <c r="X710" i="1" s="1"/>
  <c r="W712" i="1"/>
  <c r="X712" i="1" s="1"/>
  <c r="W713" i="1"/>
  <c r="X713" i="1" s="1"/>
  <c r="W714" i="1"/>
  <c r="X714" i="1" s="1"/>
  <c r="W715" i="1"/>
  <c r="X715" i="1" s="1"/>
  <c r="W716" i="1"/>
  <c r="X716" i="1" s="1"/>
  <c r="W718" i="1"/>
  <c r="X718" i="1" s="1"/>
  <c r="W720" i="1"/>
  <c r="X720" i="1" s="1"/>
  <c r="W721" i="1"/>
  <c r="X721" i="1" s="1"/>
  <c r="W722" i="1"/>
  <c r="X722" i="1" s="1"/>
  <c r="W724" i="1"/>
  <c r="X724" i="1" s="1"/>
  <c r="W728" i="1"/>
  <c r="X728" i="1" s="1"/>
  <c r="W729" i="1"/>
  <c r="X729" i="1" s="1"/>
  <c r="W730" i="1"/>
  <c r="X730" i="1" s="1"/>
  <c r="W732" i="1"/>
  <c r="X732" i="1" s="1"/>
  <c r="W734" i="1"/>
  <c r="X734" i="1" s="1"/>
  <c r="W736" i="1"/>
  <c r="X736" i="1" s="1"/>
  <c r="W737" i="1"/>
  <c r="X737" i="1" s="1"/>
  <c r="W738" i="1"/>
  <c r="X738" i="1" s="1"/>
  <c r="W739" i="1"/>
  <c r="X739" i="1" s="1"/>
  <c r="W740" i="1"/>
  <c r="X740" i="1" s="1"/>
  <c r="W742" i="1"/>
  <c r="X742" i="1" s="1"/>
  <c r="W744" i="1"/>
  <c r="X744" i="1" s="1"/>
  <c r="W745" i="1"/>
  <c r="X745" i="1" s="1"/>
  <c r="W746" i="1"/>
  <c r="X746" i="1" s="1"/>
  <c r="W747" i="1"/>
  <c r="X747" i="1" s="1"/>
  <c r="W748" i="1"/>
  <c r="X748" i="1" s="1"/>
  <c r="W750" i="1"/>
  <c r="X750" i="1" s="1"/>
  <c r="W752" i="1"/>
  <c r="X752" i="1" s="1"/>
  <c r="W753" i="1"/>
  <c r="X753" i="1" s="1"/>
  <c r="W731" i="1"/>
  <c r="X731" i="1" s="1"/>
  <c r="W754" i="1"/>
  <c r="X754" i="1" s="1"/>
  <c r="W755" i="1"/>
  <c r="X755" i="1" s="1"/>
  <c r="W756" i="1"/>
  <c r="X756" i="1" s="1"/>
  <c r="W726" i="1"/>
  <c r="X726" i="1" s="1"/>
  <c r="W2" i="1"/>
  <c r="X2" i="1" s="1"/>
  <c r="W4" i="1"/>
  <c r="X4" i="1" s="1"/>
  <c r="W8" i="1"/>
  <c r="X8" i="1" s="1"/>
  <c r="W10" i="1"/>
  <c r="X10" i="1" s="1"/>
  <c r="W15" i="1"/>
  <c r="X15" i="1" s="1"/>
  <c r="W17" i="1"/>
  <c r="X17" i="1" s="1"/>
  <c r="W23" i="1"/>
  <c r="X23" i="1" s="1"/>
  <c r="W26" i="1"/>
  <c r="X26" i="1" s="1"/>
  <c r="W28" i="1"/>
  <c r="X28" i="1" s="1"/>
  <c r="W30" i="1"/>
  <c r="X30" i="1" s="1"/>
  <c r="W40" i="1"/>
  <c r="X40" i="1" s="1"/>
  <c r="W46" i="1"/>
  <c r="X46" i="1" s="1"/>
  <c r="W49" i="1"/>
  <c r="X49" i="1" s="1"/>
  <c r="W54" i="1"/>
  <c r="X54" i="1" s="1"/>
  <c r="W56" i="1"/>
  <c r="X56" i="1" s="1"/>
  <c r="W62" i="1"/>
  <c r="X62" i="1" s="1"/>
  <c r="W65" i="1"/>
  <c r="X65" i="1" s="1"/>
  <c r="W70" i="1"/>
  <c r="X70" i="1" s="1"/>
  <c r="W76" i="1"/>
  <c r="X76" i="1" s="1"/>
  <c r="W82" i="1"/>
  <c r="X82" i="1" s="1"/>
  <c r="W86" i="1"/>
  <c r="X86" i="1" s="1"/>
  <c r="W88" i="1"/>
  <c r="X88" i="1" s="1"/>
  <c r="W92" i="1"/>
  <c r="X92" i="1" s="1"/>
  <c r="W98" i="1"/>
  <c r="X98" i="1" s="1"/>
  <c r="W102" i="1"/>
  <c r="X102" i="1" s="1"/>
  <c r="W108" i="1"/>
  <c r="X108" i="1" s="1"/>
  <c r="W111" i="1"/>
  <c r="X111" i="1" s="1"/>
  <c r="W118" i="1"/>
  <c r="X118" i="1" s="1"/>
  <c r="W124" i="1"/>
  <c r="X124" i="1" s="1"/>
  <c r="W127" i="1"/>
  <c r="X127" i="1" s="1"/>
  <c r="W130" i="1"/>
  <c r="X130" i="1" s="1"/>
  <c r="W134" i="1"/>
  <c r="X134" i="1" s="1"/>
  <c r="W137" i="1"/>
  <c r="X137" i="1" s="1"/>
  <c r="W139" i="1"/>
  <c r="X139" i="1" s="1"/>
  <c r="W142" i="1"/>
  <c r="X142" i="1" s="1"/>
  <c r="W147" i="1"/>
  <c r="X147" i="1" s="1"/>
  <c r="W153" i="1"/>
  <c r="X153" i="1" s="1"/>
  <c r="W157" i="1"/>
  <c r="X157" i="1" s="1"/>
  <c r="W161" i="1"/>
  <c r="X161" i="1" s="1"/>
  <c r="W163" i="1"/>
  <c r="X163" i="1" s="1"/>
  <c r="W169" i="1"/>
  <c r="X169" i="1" s="1"/>
  <c r="W174" i="1"/>
  <c r="X174" i="1" s="1"/>
  <c r="W179" i="1"/>
  <c r="X179" i="1" s="1"/>
  <c r="W186" i="1"/>
  <c r="X186" i="1" s="1"/>
  <c r="W189" i="1"/>
  <c r="X189" i="1" s="1"/>
  <c r="W193" i="1"/>
  <c r="X193" i="1" s="1"/>
  <c r="W195" i="1"/>
  <c r="X195" i="1" s="1"/>
  <c r="W201" i="1"/>
  <c r="X201" i="1" s="1"/>
  <c r="W206" i="1"/>
  <c r="X206" i="1" s="1"/>
  <c r="W210" i="1"/>
  <c r="X210" i="1" s="1"/>
  <c r="W214" i="1"/>
  <c r="X214" i="1" s="1"/>
  <c r="W218" i="1"/>
  <c r="X218" i="1" s="1"/>
  <c r="W221" i="1"/>
  <c r="X221" i="1" s="1"/>
  <c r="W226" i="1"/>
  <c r="X226" i="1" s="1"/>
  <c r="W232" i="1"/>
  <c r="X232" i="1" s="1"/>
  <c r="W239" i="1"/>
  <c r="X239" i="1" s="1"/>
  <c r="W245" i="1"/>
  <c r="X245" i="1" s="1"/>
  <c r="W248" i="1"/>
  <c r="X248" i="1" s="1"/>
  <c r="W253" i="1"/>
  <c r="X253" i="1" s="1"/>
  <c r="W3" i="1"/>
  <c r="X3" i="1" s="1"/>
  <c r="W5" i="1"/>
  <c r="X5" i="1" s="1"/>
  <c r="W7" i="1"/>
  <c r="X7" i="1" s="1"/>
  <c r="W9" i="1"/>
  <c r="X9" i="1" s="1"/>
  <c r="W11" i="1"/>
  <c r="X11" i="1" s="1"/>
  <c r="W14" i="1"/>
  <c r="X14" i="1" s="1"/>
  <c r="W16" i="1"/>
  <c r="X16" i="1" s="1"/>
  <c r="W18" i="1"/>
  <c r="X18" i="1" s="1"/>
  <c r="W19" i="1"/>
  <c r="X19" i="1" s="1"/>
  <c r="W24" i="1"/>
  <c r="X24" i="1" s="1"/>
  <c r="W25" i="1"/>
  <c r="X25" i="1" s="1"/>
  <c r="W27" i="1"/>
  <c r="X27" i="1" s="1"/>
  <c r="W29" i="1"/>
  <c r="X29" i="1" s="1"/>
  <c r="W31" i="1"/>
  <c r="X31" i="1" s="1"/>
  <c r="W36" i="1"/>
  <c r="X36" i="1" s="1"/>
  <c r="W38" i="1"/>
  <c r="X38" i="1" s="1"/>
  <c r="W42" i="1"/>
  <c r="X42" i="1" s="1"/>
  <c r="W44" i="1"/>
  <c r="X44" i="1" s="1"/>
  <c r="W48" i="1"/>
  <c r="X48" i="1" s="1"/>
  <c r="W50" i="1"/>
  <c r="X50" i="1" s="1"/>
  <c r="W52" i="1"/>
  <c r="X52" i="1" s="1"/>
  <c r="W55" i="1"/>
  <c r="X55" i="1" s="1"/>
  <c r="W58" i="1"/>
  <c r="X58" i="1" s="1"/>
  <c r="W60" i="1"/>
  <c r="X60" i="1" s="1"/>
  <c r="W63" i="1"/>
  <c r="X63" i="1" s="1"/>
  <c r="W64" i="1"/>
  <c r="X64" i="1" s="1"/>
  <c r="W66" i="1"/>
  <c r="X66" i="1" s="1"/>
  <c r="W68" i="1"/>
  <c r="X68" i="1" s="1"/>
  <c r="W72" i="1"/>
  <c r="X72" i="1" s="1"/>
  <c r="W74" i="1"/>
  <c r="X74" i="1" s="1"/>
  <c r="W79" i="1"/>
  <c r="X79" i="1" s="1"/>
  <c r="W80" i="1"/>
  <c r="X80" i="1" s="1"/>
  <c r="W84" i="1"/>
  <c r="X84" i="1" s="1"/>
  <c r="W87" i="1"/>
  <c r="X87" i="1" s="1"/>
  <c r="W89" i="1"/>
  <c r="X89" i="1" s="1"/>
  <c r="W90" i="1"/>
  <c r="X90" i="1" s="1"/>
  <c r="W95" i="1"/>
  <c r="X95" i="1" s="1"/>
  <c r="W96" i="1"/>
  <c r="X96" i="1" s="1"/>
  <c r="W100" i="1"/>
  <c r="X100" i="1" s="1"/>
  <c r="W103" i="1"/>
  <c r="X103" i="1" s="1"/>
  <c r="W106" i="1"/>
  <c r="X106" i="1" s="1"/>
  <c r="W110" i="1"/>
  <c r="X110" i="1" s="1"/>
  <c r="W112" i="1"/>
  <c r="X112" i="1" s="1"/>
  <c r="W113" i="1"/>
  <c r="X113" i="1" s="1"/>
  <c r="W119" i="1"/>
  <c r="X119" i="1" s="1"/>
  <c r="W120" i="1"/>
  <c r="X120" i="1" s="1"/>
  <c r="W121" i="1"/>
  <c r="X121" i="1" s="1"/>
  <c r="W126" i="1"/>
  <c r="X126" i="1" s="1"/>
  <c r="W128" i="1"/>
  <c r="X128" i="1" s="1"/>
  <c r="W129" i="1"/>
  <c r="X129" i="1" s="1"/>
  <c r="W132" i="1"/>
  <c r="X132" i="1" s="1"/>
  <c r="W135" i="1"/>
  <c r="X135" i="1" s="1"/>
  <c r="W136" i="1"/>
  <c r="X136" i="1" s="1"/>
  <c r="W138" i="1"/>
  <c r="X138" i="1" s="1"/>
  <c r="W141" i="1"/>
  <c r="X141" i="1" s="1"/>
  <c r="W145" i="1"/>
  <c r="X145" i="1" s="1"/>
  <c r="W146" i="1"/>
  <c r="X146" i="1" s="1"/>
  <c r="W149" i="1"/>
  <c r="X149" i="1" s="1"/>
  <c r="W150" i="1"/>
  <c r="X150" i="1" s="1"/>
  <c r="W154" i="1"/>
  <c r="X154" i="1" s="1"/>
  <c r="W155" i="1"/>
  <c r="X155" i="1" s="1"/>
  <c r="W158" i="1"/>
  <c r="X158" i="1" s="1"/>
  <c r="W162" i="1"/>
  <c r="X162" i="1" s="1"/>
  <c r="W165" i="1"/>
  <c r="X165" i="1" s="1"/>
  <c r="W166" i="1"/>
  <c r="X166" i="1" s="1"/>
  <c r="W170" i="1"/>
  <c r="X170" i="1" s="1"/>
  <c r="W171" i="1"/>
  <c r="X171" i="1" s="1"/>
  <c r="W177" i="1"/>
  <c r="X177" i="1" s="1"/>
  <c r="W178" i="1"/>
  <c r="X178" i="1" s="1"/>
  <c r="W182" i="1"/>
  <c r="X182" i="1" s="1"/>
  <c r="W185" i="1"/>
  <c r="X185" i="1" s="1"/>
  <c r="W187" i="1"/>
  <c r="X187" i="1" s="1"/>
  <c r="W190" i="1"/>
  <c r="X190" i="1" s="1"/>
  <c r="W194" i="1"/>
  <c r="X194" i="1" s="1"/>
  <c r="W197" i="1"/>
  <c r="X197" i="1" s="1"/>
  <c r="W198" i="1"/>
  <c r="X198" i="1" s="1"/>
  <c r="W202" i="1"/>
  <c r="X202" i="1" s="1"/>
  <c r="W203" i="1"/>
  <c r="X203" i="1" s="1"/>
  <c r="W209" i="1"/>
  <c r="X209" i="1" s="1"/>
  <c r="W211" i="1"/>
  <c r="X211" i="1" s="1"/>
  <c r="W213" i="1"/>
  <c r="X213" i="1" s="1"/>
  <c r="W217" i="1"/>
  <c r="X217" i="1" s="1"/>
  <c r="W219" i="1"/>
  <c r="X219" i="1" s="1"/>
  <c r="W223" i="1"/>
  <c r="X223" i="1" s="1"/>
  <c r="W224" i="1"/>
  <c r="X224" i="1" s="1"/>
  <c r="W229" i="1"/>
  <c r="X229" i="1" s="1"/>
  <c r="W231" i="1"/>
  <c r="X231" i="1" s="1"/>
  <c r="W234" i="1"/>
  <c r="X234" i="1" s="1"/>
  <c r="W237" i="1"/>
  <c r="X237" i="1" s="1"/>
  <c r="W240" i="1"/>
  <c r="X240" i="1" s="1"/>
  <c r="W242" i="1"/>
  <c r="X242" i="1" s="1"/>
  <c r="W247" i="1"/>
  <c r="X247" i="1" s="1"/>
  <c r="W250" i="1"/>
  <c r="X250" i="1" s="1"/>
  <c r="W255" i="1"/>
  <c r="X255" i="1" s="1"/>
  <c r="W257" i="1"/>
  <c r="X257" i="1" s="1"/>
  <c r="W258" i="1"/>
  <c r="X258" i="1" s="1"/>
  <c r="W261" i="1"/>
  <c r="X261" i="1" s="1"/>
  <c r="W263" i="1"/>
  <c r="X263" i="1" s="1"/>
  <c r="W264" i="1"/>
  <c r="X264" i="1" s="1"/>
  <c r="W265" i="1"/>
  <c r="X265" i="1" s="1"/>
  <c r="W266" i="1"/>
  <c r="X266" i="1" s="1"/>
  <c r="W267" i="1"/>
  <c r="X267" i="1" s="1"/>
  <c r="W269" i="1"/>
  <c r="X269" i="1" s="1"/>
  <c r="W271" i="1"/>
  <c r="X271" i="1" s="1"/>
  <c r="W272" i="1"/>
  <c r="X272" i="1" s="1"/>
  <c r="W273" i="1"/>
  <c r="X273" i="1" s="1"/>
  <c r="W274" i="1"/>
  <c r="X274" i="1" s="1"/>
  <c r="W275" i="1"/>
  <c r="X275" i="1" s="1"/>
  <c r="W277" i="1"/>
  <c r="X277" i="1" s="1"/>
  <c r="W279" i="1"/>
  <c r="X279" i="1" s="1"/>
  <c r="W280" i="1"/>
  <c r="X280" i="1" s="1"/>
  <c r="W281" i="1"/>
  <c r="X281" i="1" s="1"/>
  <c r="W282" i="1"/>
  <c r="X282" i="1" s="1"/>
  <c r="W283" i="1"/>
  <c r="X283" i="1" s="1"/>
  <c r="W285" i="1"/>
  <c r="X285" i="1" s="1"/>
  <c r="W287" i="1"/>
  <c r="X287" i="1" s="1"/>
  <c r="W288" i="1"/>
  <c r="X288" i="1" s="1"/>
  <c r="W290" i="1"/>
  <c r="X290" i="1" s="1"/>
  <c r="W291" i="1"/>
  <c r="X291" i="1" s="1"/>
  <c r="W295" i="1"/>
  <c r="X295" i="1" s="1"/>
  <c r="W296" i="1"/>
  <c r="X296" i="1" s="1"/>
  <c r="W297" i="1"/>
  <c r="X297" i="1" s="1"/>
  <c r="W298" i="1"/>
  <c r="X298" i="1" s="1"/>
  <c r="W299" i="1"/>
  <c r="X299" i="1" s="1"/>
  <c r="W301" i="1"/>
  <c r="X301" i="1" s="1"/>
  <c r="W303" i="1"/>
  <c r="X303" i="1" s="1"/>
  <c r="W304" i="1"/>
  <c r="X304" i="1" s="1"/>
  <c r="W305" i="1"/>
  <c r="X305" i="1" s="1"/>
  <c r="W306" i="1"/>
  <c r="X306" i="1" s="1"/>
  <c r="W307" i="1"/>
  <c r="X307" i="1" s="1"/>
  <c r="W309" i="1"/>
  <c r="X309" i="1" s="1"/>
  <c r="W311" i="1"/>
  <c r="X311" i="1" s="1"/>
  <c r="W312" i="1"/>
  <c r="X312" i="1" s="1"/>
  <c r="W313" i="1"/>
  <c r="X313" i="1" s="1"/>
  <c r="W314" i="1"/>
  <c r="X314" i="1" s="1"/>
  <c r="W315" i="1"/>
  <c r="X315" i="1" s="1"/>
  <c r="W317" i="1"/>
  <c r="X317" i="1" s="1"/>
  <c r="W319" i="1"/>
  <c r="X319" i="1" s="1"/>
  <c r="W320" i="1"/>
  <c r="X320" i="1" s="1"/>
  <c r="W321" i="1"/>
  <c r="X321" i="1" s="1"/>
  <c r="W322" i="1"/>
  <c r="X322" i="1" s="1"/>
  <c r="W323" i="1"/>
  <c r="X323" i="1" s="1"/>
  <c r="W325" i="1"/>
  <c r="X325" i="1" s="1"/>
  <c r="W327" i="1"/>
  <c r="X327" i="1" s="1"/>
  <c r="W328" i="1"/>
  <c r="X328" i="1" s="1"/>
  <c r="W329" i="1"/>
  <c r="X329" i="1" s="1"/>
  <c r="W330" i="1"/>
  <c r="X330" i="1" s="1"/>
  <c r="W333" i="1"/>
  <c r="X333" i="1" s="1"/>
  <c r="W336" i="1"/>
  <c r="X336" i="1" s="1"/>
  <c r="W337" i="1"/>
  <c r="X337" i="1" s="1"/>
  <c r="W338" i="1"/>
  <c r="X338" i="1" s="1"/>
  <c r="W341" i="1"/>
  <c r="X341" i="1" s="1"/>
  <c r="W343" i="1"/>
  <c r="X343" i="1" s="1"/>
  <c r="W344" i="1"/>
  <c r="X344" i="1" s="1"/>
  <c r="W345" i="1"/>
  <c r="X345" i="1" s="1"/>
  <c r="W346" i="1"/>
  <c r="X346" i="1" s="1"/>
  <c r="W347" i="1"/>
  <c r="X347" i="1" s="1"/>
  <c r="W349" i="1"/>
  <c r="X349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7" i="1"/>
  <c r="X377" i="1" s="1"/>
  <c r="W381" i="1"/>
  <c r="X381" i="1" s="1"/>
  <c r="W383" i="1"/>
  <c r="X383" i="1" s="1"/>
  <c r="W385" i="1"/>
  <c r="X385" i="1" s="1"/>
  <c r="W388" i="1"/>
  <c r="X388" i="1" s="1"/>
  <c r="W390" i="1"/>
  <c r="X390" i="1" s="1"/>
  <c r="W393" i="1"/>
  <c r="X393" i="1" s="1"/>
  <c r="W394" i="1"/>
  <c r="X394" i="1" s="1"/>
  <c r="W396" i="1"/>
  <c r="X396" i="1" s="1"/>
  <c r="W516" i="1"/>
  <c r="X516" i="1" s="1"/>
  <c r="W518" i="1"/>
  <c r="X518" i="1" s="1"/>
  <c r="W520" i="1"/>
  <c r="X520" i="1" s="1"/>
  <c r="W524" i="1"/>
  <c r="X524" i="1" s="1"/>
  <c r="W526" i="1"/>
  <c r="X526" i="1" s="1"/>
  <c r="W528" i="1"/>
  <c r="X528" i="1" s="1"/>
  <c r="W530" i="1"/>
  <c r="X530" i="1" s="1"/>
  <c r="W532" i="1"/>
  <c r="X532" i="1" s="1"/>
  <c r="W536" i="1"/>
  <c r="X536" i="1" s="1"/>
  <c r="W538" i="1"/>
  <c r="X538" i="1" s="1"/>
  <c r="W540" i="1"/>
  <c r="X540" i="1" s="1"/>
  <c r="W541" i="1"/>
  <c r="X541" i="1" s="1"/>
  <c r="W544" i="1"/>
  <c r="X544" i="1" s="1"/>
  <c r="W545" i="1"/>
  <c r="X545" i="1" s="1"/>
  <c r="W549" i="1"/>
  <c r="X549" i="1" s="1"/>
  <c r="W553" i="1"/>
  <c r="X553" i="1" s="1"/>
  <c r="W556" i="1"/>
  <c r="X556" i="1" s="1"/>
  <c r="W557" i="1"/>
  <c r="X557" i="1" s="1"/>
  <c r="W560" i="1"/>
  <c r="X560" i="1" s="1"/>
  <c r="W561" i="1"/>
  <c r="X561" i="1" s="1"/>
  <c r="W565" i="1"/>
  <c r="X565" i="1" s="1"/>
  <c r="W568" i="1"/>
  <c r="X568" i="1" s="1"/>
  <c r="W569" i="1"/>
  <c r="X569" i="1" s="1"/>
  <c r="W572" i="1"/>
  <c r="X572" i="1" s="1"/>
  <c r="W573" i="1"/>
  <c r="X573" i="1" s="1"/>
  <c r="W576" i="1"/>
  <c r="X576" i="1" s="1"/>
  <c r="W577" i="1"/>
  <c r="X577" i="1" s="1"/>
  <c r="W580" i="1"/>
  <c r="X580" i="1" s="1"/>
  <c r="W581" i="1"/>
  <c r="X581" i="1" s="1"/>
  <c r="W584" i="1"/>
  <c r="X584" i="1" s="1"/>
  <c r="W585" i="1"/>
  <c r="X585" i="1" s="1"/>
  <c r="W588" i="1"/>
  <c r="X588" i="1" s="1"/>
  <c r="W589" i="1"/>
  <c r="X589" i="1" s="1"/>
  <c r="W592" i="1"/>
  <c r="X592" i="1" s="1"/>
  <c r="W593" i="1"/>
  <c r="X593" i="1" s="1"/>
  <c r="W596" i="1"/>
  <c r="X596" i="1" s="1"/>
  <c r="W597" i="1"/>
  <c r="X597" i="1" s="1"/>
  <c r="W604" i="1"/>
  <c r="X604" i="1" s="1"/>
  <c r="W605" i="1"/>
  <c r="X605" i="1" s="1"/>
  <c r="W608" i="1"/>
  <c r="X608" i="1" s="1"/>
  <c r="W609" i="1"/>
  <c r="X609" i="1" s="1"/>
  <c r="W612" i="1"/>
  <c r="X612" i="1" s="1"/>
  <c r="W613" i="1"/>
  <c r="X613" i="1" s="1"/>
  <c r="W616" i="1"/>
  <c r="X616" i="1" s="1"/>
  <c r="W617" i="1"/>
  <c r="X617" i="1" s="1"/>
  <c r="W620" i="1"/>
  <c r="X620" i="1" s="1"/>
  <c r="W621" i="1"/>
  <c r="X621" i="1" s="1"/>
  <c r="W624" i="1"/>
  <c r="X624" i="1" s="1"/>
  <c r="W628" i="1"/>
  <c r="X628" i="1" s="1"/>
  <c r="W629" i="1"/>
  <c r="X629" i="1" s="1"/>
  <c r="W632" i="1"/>
  <c r="X632" i="1" s="1"/>
  <c r="W633" i="1"/>
  <c r="X633" i="1" s="1"/>
  <c r="W636" i="1"/>
  <c r="X636" i="1" s="1"/>
  <c r="W637" i="1"/>
  <c r="X637" i="1" s="1"/>
  <c r="W642" i="1"/>
  <c r="X642" i="1" s="1"/>
  <c r="W644" i="1"/>
  <c r="X644" i="1" s="1"/>
  <c r="W646" i="1"/>
  <c r="X646" i="1" s="1"/>
  <c r="W650" i="1"/>
  <c r="X650" i="1" s="1"/>
  <c r="W652" i="1"/>
  <c r="X652" i="1" s="1"/>
  <c r="W654" i="1"/>
  <c r="X654" i="1" s="1"/>
  <c r="W658" i="1"/>
  <c r="X658" i="1" s="1"/>
  <c r="W660" i="1"/>
  <c r="X660" i="1" s="1"/>
  <c r="W662" i="1"/>
  <c r="X662" i="1" s="1"/>
  <c r="W666" i="1"/>
  <c r="X666" i="1" s="1"/>
  <c r="W668" i="1"/>
  <c r="X668" i="1" s="1"/>
  <c r="W670" i="1"/>
  <c r="X670" i="1" s="1"/>
  <c r="W674" i="1"/>
  <c r="X674" i="1" s="1"/>
  <c r="W676" i="1"/>
  <c r="X676" i="1" s="1"/>
  <c r="W678" i="1"/>
  <c r="X678" i="1" s="1"/>
  <c r="W682" i="1"/>
  <c r="X682" i="1" s="1"/>
  <c r="W684" i="1"/>
  <c r="X684" i="1" s="1"/>
  <c r="W686" i="1"/>
  <c r="X686" i="1" s="1"/>
  <c r="W375" i="1"/>
  <c r="X375" i="1" s="1"/>
  <c r="W376" i="1"/>
  <c r="X376" i="1" s="1"/>
  <c r="W378" i="1"/>
  <c r="X378" i="1" s="1"/>
  <c r="W379" i="1"/>
  <c r="X379" i="1" s="1"/>
  <c r="W382" i="1"/>
  <c r="X382" i="1" s="1"/>
  <c r="W384" i="1"/>
  <c r="X384" i="1" s="1"/>
  <c r="W386" i="1"/>
  <c r="X386" i="1" s="1"/>
  <c r="W387" i="1"/>
  <c r="X387" i="1" s="1"/>
  <c r="W389" i="1"/>
  <c r="X389" i="1" s="1"/>
  <c r="W391" i="1"/>
  <c r="X391" i="1" s="1"/>
  <c r="W392" i="1"/>
  <c r="X392" i="1" s="1"/>
  <c r="W395" i="1"/>
  <c r="X395" i="1" s="1"/>
  <c r="W625" i="1"/>
  <c r="X625" i="1" s="1"/>
  <c r="W600" i="1"/>
  <c r="X600" i="1" s="1"/>
  <c r="W601" i="1"/>
  <c r="X601" i="1" s="1"/>
  <c r="W13" i="1"/>
  <c r="X13" i="1" s="1"/>
  <c r="W39" i="1"/>
  <c r="X39" i="1" s="1"/>
  <c r="W43" i="1"/>
  <c r="X43" i="1" s="1"/>
  <c r="W522" i="1"/>
  <c r="X522" i="1" s="1"/>
  <c r="W6" i="1"/>
  <c r="X6" i="1" s="1"/>
  <c r="W71" i="1"/>
  <c r="X71" i="1" s="1"/>
  <c r="W12" i="1"/>
  <c r="X12" i="1" s="1"/>
  <c r="W380" i="1"/>
  <c r="X380" i="1" s="1"/>
  <c r="W47" i="1"/>
  <c r="X47" i="1" s="1"/>
  <c r="W114" i="1"/>
  <c r="X114" i="1" s="1"/>
  <c r="W116" i="1"/>
  <c r="X116" i="1" s="1"/>
  <c r="W181" i="1"/>
  <c r="X181" i="1" s="1"/>
  <c r="W339" i="1"/>
  <c r="X339" i="1" s="1"/>
  <c r="W758" i="1"/>
  <c r="X758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9" i="1"/>
  <c r="X769" i="1" s="1"/>
  <c r="W771" i="1"/>
  <c r="X771" i="1" s="1"/>
  <c r="W772" i="1"/>
  <c r="X772" i="1" s="1"/>
  <c r="W773" i="1"/>
  <c r="X773" i="1" s="1"/>
  <c r="W774" i="1"/>
  <c r="X774" i="1" s="1"/>
  <c r="W775" i="1"/>
  <c r="X775" i="1" s="1"/>
  <c r="W777" i="1"/>
  <c r="X777" i="1" s="1"/>
  <c r="W779" i="1"/>
  <c r="X779" i="1" s="1"/>
  <c r="W780" i="1"/>
  <c r="X780" i="1" s="1"/>
  <c r="W781" i="1"/>
  <c r="X781" i="1" s="1"/>
  <c r="W782" i="1"/>
  <c r="X782" i="1" s="1"/>
  <c r="W783" i="1"/>
  <c r="X783" i="1" s="1"/>
  <c r="W785" i="1"/>
  <c r="X785" i="1" s="1"/>
  <c r="W787" i="1"/>
  <c r="X787" i="1" s="1"/>
  <c r="W788" i="1"/>
  <c r="X788" i="1" s="1"/>
  <c r="W723" i="1"/>
  <c r="X723" i="1" s="1"/>
  <c r="W706" i="1"/>
  <c r="X706" i="1" s="1"/>
  <c r="W78" i="1"/>
  <c r="X78" i="1" s="1"/>
  <c r="W552" i="1"/>
  <c r="X552" i="1" s="1"/>
  <c r="W259" i="1"/>
  <c r="X259" i="1" s="1"/>
  <c r="W335" i="1"/>
  <c r="X335" i="1" s="1"/>
  <c r="W73" i="1"/>
  <c r="X73" i="1" s="1"/>
  <c r="W81" i="1"/>
  <c r="X81" i="1" s="1"/>
  <c r="W104" i="1"/>
  <c r="X104" i="1" s="1"/>
  <c r="W105" i="1"/>
  <c r="X105" i="1" s="1"/>
  <c r="W122" i="1"/>
  <c r="X122" i="1" s="1"/>
  <c r="W173" i="1"/>
  <c r="X173" i="1" s="1"/>
  <c r="W20" i="1"/>
  <c r="X20" i="1" s="1"/>
  <c r="W21" i="1"/>
  <c r="X21" i="1" s="1"/>
  <c r="W94" i="1"/>
  <c r="X94" i="1" s="1"/>
  <c r="W205" i="1"/>
  <c r="X205" i="1" s="1"/>
  <c r="W534" i="1"/>
  <c r="X534" i="1" s="1"/>
  <c r="W548" i="1"/>
  <c r="X548" i="1" s="1"/>
  <c r="W34" i="1"/>
  <c r="X34" i="1" s="1"/>
  <c r="W35" i="1"/>
  <c r="X35" i="1" s="1"/>
  <c r="W789" i="1"/>
  <c r="X789" i="1" s="1"/>
  <c r="W790" i="1"/>
  <c r="X790" i="1" s="1"/>
  <c r="W791" i="1"/>
  <c r="X791" i="1" s="1"/>
  <c r="W793" i="1"/>
  <c r="X793" i="1" s="1"/>
  <c r="W795" i="1"/>
  <c r="X795" i="1" s="1"/>
  <c r="W796" i="1"/>
  <c r="X796" i="1" s="1"/>
  <c r="W797" i="1"/>
  <c r="X797" i="1" s="1"/>
  <c r="W798" i="1"/>
  <c r="X798" i="1" s="1"/>
  <c r="W799" i="1"/>
  <c r="X799" i="1" s="1"/>
  <c r="W801" i="1"/>
  <c r="X801" i="1" s="1"/>
  <c r="W803" i="1"/>
  <c r="X803" i="1" s="1"/>
  <c r="W804" i="1"/>
  <c r="X804" i="1" s="1"/>
  <c r="W805" i="1"/>
  <c r="X805" i="1" s="1"/>
  <c r="W806" i="1"/>
  <c r="X806" i="1" s="1"/>
  <c r="W807" i="1"/>
  <c r="X807" i="1" s="1"/>
  <c r="W809" i="1"/>
  <c r="X809" i="1" s="1"/>
  <c r="W811" i="1"/>
  <c r="X811" i="1" s="1"/>
  <c r="W812" i="1"/>
  <c r="X812" i="1" s="1"/>
  <c r="W813" i="1"/>
  <c r="X813" i="1" s="1"/>
  <c r="W814" i="1"/>
  <c r="X814" i="1" s="1"/>
  <c r="W815" i="1"/>
  <c r="X815" i="1" s="1"/>
  <c r="W817" i="1"/>
  <c r="X817" i="1" s="1"/>
  <c r="W819" i="1"/>
  <c r="X819" i="1" s="1"/>
  <c r="W820" i="1"/>
  <c r="X820" i="1" s="1"/>
  <c r="W821" i="1"/>
  <c r="X821" i="1" s="1"/>
  <c r="W822" i="1"/>
  <c r="X822" i="1" s="1"/>
  <c r="W823" i="1"/>
  <c r="X823" i="1" s="1"/>
  <c r="W825" i="1"/>
  <c r="X825" i="1" s="1"/>
  <c r="W827" i="1"/>
  <c r="X827" i="1" s="1"/>
  <c r="W828" i="1"/>
  <c r="X828" i="1" s="1"/>
  <c r="W829" i="1"/>
  <c r="X829" i="1" s="1"/>
  <c r="W830" i="1"/>
  <c r="X830" i="1" s="1"/>
  <c r="W831" i="1"/>
  <c r="X831" i="1" s="1"/>
  <c r="W833" i="1"/>
  <c r="X833" i="1" s="1"/>
  <c r="W835" i="1"/>
  <c r="X835" i="1" s="1"/>
  <c r="W836" i="1"/>
  <c r="X836" i="1" s="1"/>
  <c r="W837" i="1"/>
  <c r="X837" i="1" s="1"/>
  <c r="W838" i="1"/>
  <c r="X838" i="1" s="1"/>
  <c r="W839" i="1"/>
  <c r="X839" i="1" s="1"/>
  <c r="W841" i="1"/>
  <c r="X841" i="1" s="1"/>
  <c r="W844" i="1"/>
  <c r="X844" i="1" s="1"/>
  <c r="W845" i="1"/>
  <c r="X845" i="1" s="1"/>
  <c r="W846" i="1"/>
  <c r="X846" i="1" s="1"/>
  <c r="W564" i="1"/>
  <c r="X564" i="1" s="1"/>
  <c r="W32" i="1"/>
  <c r="X32" i="1" s="1"/>
  <c r="W57" i="1"/>
  <c r="X57" i="1" s="1"/>
  <c r="W97" i="1"/>
  <c r="X97" i="1" s="1"/>
  <c r="W289" i="1"/>
  <c r="X289" i="1" s="1"/>
  <c r="W293" i="1"/>
  <c r="X293" i="1" s="1"/>
  <c r="W331" i="1"/>
  <c r="X331" i="1" s="1"/>
  <c r="W361" i="1"/>
  <c r="X361" i="1" s="1"/>
  <c r="W362" i="1"/>
  <c r="X362" i="1" s="1"/>
  <c r="W843" i="1"/>
  <c r="X843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8" i="1"/>
  <c r="X428" i="1" s="1"/>
  <c r="W430" i="1"/>
  <c r="X430" i="1" s="1"/>
  <c r="W432" i="1"/>
  <c r="X432" i="1" s="1"/>
  <c r="W433" i="1"/>
  <c r="X433" i="1" s="1"/>
  <c r="W434" i="1"/>
  <c r="X434" i="1" s="1"/>
  <c r="W436" i="1"/>
  <c r="X436" i="1" s="1"/>
  <c r="W438" i="1"/>
  <c r="X438" i="1" s="1"/>
  <c r="W440" i="1"/>
  <c r="X440" i="1" s="1"/>
  <c r="W441" i="1"/>
  <c r="X441" i="1" s="1"/>
  <c r="W442" i="1"/>
  <c r="X442" i="1" s="1"/>
  <c r="W444" i="1"/>
  <c r="X444" i="1" s="1"/>
  <c r="W446" i="1"/>
  <c r="X446" i="1" s="1"/>
  <c r="W448" i="1"/>
  <c r="X448" i="1" s="1"/>
  <c r="W449" i="1"/>
  <c r="X449" i="1" s="1"/>
  <c r="W450" i="1"/>
  <c r="X450" i="1" s="1"/>
  <c r="W452" i="1"/>
  <c r="X452" i="1" s="1"/>
  <c r="W454" i="1"/>
  <c r="X454" i="1" s="1"/>
  <c r="W456" i="1"/>
  <c r="X456" i="1" s="1"/>
  <c r="W457" i="1"/>
  <c r="X457" i="1" s="1"/>
  <c r="W458" i="1"/>
  <c r="X458" i="1" s="1"/>
  <c r="W460" i="1"/>
  <c r="X460" i="1" s="1"/>
  <c r="W462" i="1"/>
  <c r="X462" i="1" s="1"/>
  <c r="W464" i="1"/>
  <c r="X464" i="1" s="1"/>
  <c r="W465" i="1"/>
  <c r="X465" i="1" s="1"/>
  <c r="W466" i="1"/>
  <c r="X466" i="1" s="1"/>
  <c r="W468" i="1"/>
  <c r="X468" i="1" s="1"/>
  <c r="W470" i="1"/>
  <c r="X470" i="1" s="1"/>
  <c r="W472" i="1"/>
  <c r="X472" i="1" s="1"/>
  <c r="W473" i="1"/>
  <c r="X473" i="1" s="1"/>
  <c r="W474" i="1"/>
  <c r="X474" i="1" s="1"/>
  <c r="W476" i="1"/>
  <c r="X476" i="1" s="1"/>
  <c r="W478" i="1"/>
  <c r="X478" i="1" s="1"/>
  <c r="W480" i="1"/>
  <c r="X480" i="1" s="1"/>
  <c r="W481" i="1"/>
  <c r="X481" i="1" s="1"/>
  <c r="W482" i="1"/>
  <c r="X482" i="1" s="1"/>
  <c r="W484" i="1"/>
  <c r="X484" i="1" s="1"/>
  <c r="W486" i="1"/>
  <c r="X486" i="1" s="1"/>
  <c r="W488" i="1"/>
  <c r="X488" i="1" s="1"/>
  <c r="W489" i="1"/>
  <c r="X489" i="1" s="1"/>
  <c r="W490" i="1"/>
  <c r="X490" i="1" s="1"/>
  <c r="W492" i="1"/>
  <c r="X492" i="1" s="1"/>
  <c r="W494" i="1"/>
  <c r="X494" i="1" s="1"/>
  <c r="W496" i="1"/>
  <c r="X496" i="1" s="1"/>
  <c r="W497" i="1"/>
  <c r="X497" i="1" s="1"/>
  <c r="W498" i="1"/>
  <c r="X498" i="1" s="1"/>
  <c r="W500" i="1"/>
  <c r="X500" i="1" s="1"/>
  <c r="W502" i="1"/>
  <c r="X502" i="1" s="1"/>
  <c r="W504" i="1"/>
  <c r="X504" i="1" s="1"/>
  <c r="W505" i="1"/>
  <c r="X505" i="1" s="1"/>
  <c r="W506" i="1"/>
  <c r="X506" i="1" s="1"/>
  <c r="W508" i="1"/>
  <c r="X508" i="1" s="1"/>
  <c r="W510" i="1"/>
  <c r="X510" i="1" s="1"/>
  <c r="W512" i="1"/>
  <c r="X512" i="1" s="1"/>
  <c r="W514" i="1"/>
  <c r="X514" i="1" s="1"/>
  <c r="W847" i="1"/>
  <c r="X847" i="1" s="1"/>
  <c r="W849" i="1"/>
  <c r="X849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431" i="1"/>
  <c r="X431" i="1" s="1"/>
  <c r="W439" i="1"/>
  <c r="X439" i="1" s="1"/>
  <c r="W447" i="1"/>
  <c r="X447" i="1" s="1"/>
  <c r="W455" i="1"/>
  <c r="X455" i="1" s="1"/>
  <c r="W463" i="1"/>
  <c r="X463" i="1" s="1"/>
  <c r="W471" i="1"/>
  <c r="X471" i="1" s="1"/>
  <c r="W479" i="1"/>
  <c r="X479" i="1" s="1"/>
  <c r="W487" i="1"/>
  <c r="X487" i="1" s="1"/>
  <c r="W495" i="1"/>
  <c r="X495" i="1" s="1"/>
  <c r="W503" i="1"/>
  <c r="X503" i="1" s="1"/>
  <c r="W509" i="1"/>
  <c r="X509" i="1" s="1"/>
  <c r="W513" i="1"/>
  <c r="X513" i="1" s="1"/>
  <c r="W517" i="1"/>
  <c r="X517" i="1" s="1"/>
  <c r="W521" i="1"/>
  <c r="X521" i="1" s="1"/>
  <c r="W525" i="1"/>
  <c r="X525" i="1" s="1"/>
  <c r="W529" i="1"/>
  <c r="X529" i="1" s="1"/>
  <c r="W533" i="1"/>
  <c r="X533" i="1" s="1"/>
  <c r="W537" i="1"/>
  <c r="X537" i="1" s="1"/>
  <c r="W542" i="1"/>
  <c r="X542" i="1" s="1"/>
  <c r="W543" i="1"/>
  <c r="X543" i="1" s="1"/>
  <c r="W550" i="1"/>
  <c r="X550" i="1" s="1"/>
  <c r="W551" i="1"/>
  <c r="X551" i="1" s="1"/>
  <c r="W558" i="1"/>
  <c r="X558" i="1" s="1"/>
  <c r="W559" i="1"/>
  <c r="X559" i="1" s="1"/>
  <c r="W566" i="1"/>
  <c r="X566" i="1" s="1"/>
  <c r="W567" i="1"/>
  <c r="X567" i="1" s="1"/>
  <c r="W574" i="1"/>
  <c r="X574" i="1" s="1"/>
  <c r="W575" i="1"/>
  <c r="X575" i="1" s="1"/>
  <c r="W582" i="1"/>
  <c r="X582" i="1" s="1"/>
  <c r="W583" i="1"/>
  <c r="X583" i="1" s="1"/>
  <c r="W590" i="1"/>
  <c r="X590" i="1" s="1"/>
  <c r="W591" i="1"/>
  <c r="X591" i="1" s="1"/>
  <c r="W598" i="1"/>
  <c r="X598" i="1" s="1"/>
  <c r="W599" i="1"/>
  <c r="X599" i="1" s="1"/>
  <c r="W606" i="1"/>
  <c r="X606" i="1" s="1"/>
  <c r="W607" i="1"/>
  <c r="X607" i="1" s="1"/>
  <c r="W614" i="1"/>
  <c r="X614" i="1" s="1"/>
  <c r="W615" i="1"/>
  <c r="X615" i="1" s="1"/>
  <c r="W622" i="1"/>
  <c r="X622" i="1" s="1"/>
  <c r="W623" i="1"/>
  <c r="X623" i="1" s="1"/>
  <c r="W630" i="1"/>
  <c r="X630" i="1" s="1"/>
  <c r="W631" i="1"/>
  <c r="X631" i="1" s="1"/>
  <c r="W638" i="1"/>
  <c r="X638" i="1" s="1"/>
  <c r="W640" i="1"/>
  <c r="X640" i="1" s="1"/>
  <c r="W656" i="1"/>
  <c r="X656" i="1" s="1"/>
  <c r="W672" i="1"/>
  <c r="X672" i="1" s="1"/>
  <c r="W688" i="1"/>
  <c r="X688" i="1" s="1"/>
  <c r="W704" i="1"/>
  <c r="X704" i="1" s="1"/>
  <c r="W453" i="1"/>
  <c r="X453" i="1" s="1"/>
  <c r="W501" i="1"/>
  <c r="X501" i="1" s="1"/>
  <c r="W429" i="1"/>
  <c r="X429" i="1" s="1"/>
  <c r="W437" i="1"/>
  <c r="X437" i="1" s="1"/>
  <c r="W445" i="1"/>
  <c r="X445" i="1" s="1"/>
  <c r="W461" i="1"/>
  <c r="X461" i="1" s="1"/>
  <c r="W469" i="1"/>
  <c r="X469" i="1" s="1"/>
  <c r="W477" i="1"/>
  <c r="X477" i="1" s="1"/>
  <c r="W485" i="1"/>
  <c r="X485" i="1" s="1"/>
  <c r="W493" i="1"/>
  <c r="X493" i="1" s="1"/>
  <c r="W427" i="1"/>
  <c r="X427" i="1" s="1"/>
  <c r="W435" i="1"/>
  <c r="X435" i="1" s="1"/>
  <c r="W443" i="1"/>
  <c r="X443" i="1" s="1"/>
  <c r="W451" i="1"/>
  <c r="X451" i="1" s="1"/>
  <c r="W459" i="1"/>
  <c r="X459" i="1" s="1"/>
  <c r="W467" i="1"/>
  <c r="X467" i="1" s="1"/>
  <c r="W475" i="1"/>
  <c r="X475" i="1" s="1"/>
  <c r="W483" i="1"/>
  <c r="X483" i="1" s="1"/>
  <c r="W491" i="1"/>
  <c r="X491" i="1" s="1"/>
  <c r="W499" i="1"/>
  <c r="X499" i="1" s="1"/>
  <c r="W507" i="1"/>
  <c r="X507" i="1" s="1"/>
  <c r="W511" i="1"/>
  <c r="X511" i="1" s="1"/>
  <c r="W515" i="1"/>
  <c r="X515" i="1" s="1"/>
  <c r="W519" i="1"/>
  <c r="X519" i="1" s="1"/>
  <c r="W523" i="1"/>
  <c r="X523" i="1" s="1"/>
  <c r="W527" i="1"/>
  <c r="X527" i="1" s="1"/>
  <c r="W531" i="1"/>
  <c r="X531" i="1" s="1"/>
  <c r="W535" i="1"/>
  <c r="X535" i="1" s="1"/>
  <c r="W539" i="1"/>
  <c r="X539" i="1" s="1"/>
  <c r="W546" i="1"/>
  <c r="X546" i="1" s="1"/>
  <c r="W547" i="1"/>
  <c r="X547" i="1" s="1"/>
  <c r="W554" i="1"/>
  <c r="X554" i="1" s="1"/>
  <c r="W555" i="1"/>
  <c r="X555" i="1" s="1"/>
  <c r="W562" i="1"/>
  <c r="X562" i="1" s="1"/>
  <c r="W563" i="1"/>
  <c r="X563" i="1" s="1"/>
  <c r="W570" i="1"/>
  <c r="X570" i="1" s="1"/>
  <c r="W571" i="1"/>
  <c r="X571" i="1" s="1"/>
  <c r="W578" i="1"/>
  <c r="X578" i="1" s="1"/>
  <c r="W579" i="1"/>
  <c r="X579" i="1" s="1"/>
  <c r="W586" i="1"/>
  <c r="X586" i="1" s="1"/>
  <c r="W587" i="1"/>
  <c r="X587" i="1" s="1"/>
  <c r="W594" i="1"/>
  <c r="X594" i="1" s="1"/>
  <c r="W595" i="1"/>
  <c r="X595" i="1" s="1"/>
  <c r="W602" i="1"/>
  <c r="X602" i="1" s="1"/>
  <c r="W603" i="1"/>
  <c r="X603" i="1" s="1"/>
  <c r="W610" i="1"/>
  <c r="X610" i="1" s="1"/>
  <c r="W611" i="1"/>
  <c r="X611" i="1" s="1"/>
  <c r="W618" i="1"/>
  <c r="X618" i="1" s="1"/>
  <c r="W619" i="1"/>
  <c r="X619" i="1" s="1"/>
  <c r="W626" i="1"/>
  <c r="X626" i="1" s="1"/>
  <c r="W627" i="1"/>
  <c r="X627" i="1" s="1"/>
  <c r="W634" i="1"/>
  <c r="X634" i="1" s="1"/>
  <c r="W635" i="1"/>
  <c r="X635" i="1" s="1"/>
  <c r="W648" i="1"/>
  <c r="X648" i="1" s="1"/>
  <c r="W664" i="1"/>
  <c r="X664" i="1" s="1"/>
  <c r="W680" i="1"/>
  <c r="X680" i="1" s="1"/>
  <c r="W696" i="1"/>
  <c r="X696" i="1" s="1"/>
  <c r="W641" i="1"/>
  <c r="X641" i="1" s="1"/>
  <c r="W645" i="1"/>
  <c r="X645" i="1" s="1"/>
  <c r="W649" i="1"/>
  <c r="X649" i="1" s="1"/>
  <c r="W653" i="1"/>
  <c r="X653" i="1" s="1"/>
  <c r="W657" i="1"/>
  <c r="X657" i="1" s="1"/>
  <c r="W661" i="1"/>
  <c r="X661" i="1" s="1"/>
  <c r="W665" i="1"/>
  <c r="X665" i="1" s="1"/>
  <c r="W669" i="1"/>
  <c r="X669" i="1" s="1"/>
  <c r="W673" i="1"/>
  <c r="X673" i="1" s="1"/>
  <c r="W677" i="1"/>
  <c r="X677" i="1" s="1"/>
  <c r="W681" i="1"/>
  <c r="X681" i="1" s="1"/>
  <c r="W685" i="1"/>
  <c r="X685" i="1" s="1"/>
  <c r="W689" i="1"/>
  <c r="X689" i="1" s="1"/>
  <c r="W693" i="1"/>
  <c r="X693" i="1" s="1"/>
  <c r="W697" i="1"/>
  <c r="X697" i="1" s="1"/>
  <c r="W701" i="1"/>
  <c r="X701" i="1" s="1"/>
  <c r="W705" i="1"/>
  <c r="X705" i="1" s="1"/>
  <c r="W709" i="1"/>
  <c r="X709" i="1" s="1"/>
  <c r="W717" i="1"/>
  <c r="X717" i="1" s="1"/>
  <c r="W725" i="1"/>
  <c r="X725" i="1" s="1"/>
  <c r="W733" i="1"/>
  <c r="X733" i="1" s="1"/>
  <c r="W741" i="1"/>
  <c r="X741" i="1" s="1"/>
  <c r="W749" i="1"/>
  <c r="X749" i="1" s="1"/>
  <c r="W757" i="1"/>
  <c r="X757" i="1" s="1"/>
  <c r="W639" i="1"/>
  <c r="X639" i="1" s="1"/>
  <c r="W643" i="1"/>
  <c r="X643" i="1" s="1"/>
  <c r="W647" i="1"/>
  <c r="X647" i="1" s="1"/>
  <c r="W651" i="1"/>
  <c r="X651" i="1" s="1"/>
  <c r="W655" i="1"/>
  <c r="X655" i="1" s="1"/>
  <c r="W659" i="1"/>
  <c r="X659" i="1" s="1"/>
  <c r="W663" i="1"/>
  <c r="X663" i="1" s="1"/>
  <c r="W667" i="1"/>
  <c r="X667" i="1" s="1"/>
  <c r="W671" i="1"/>
  <c r="X671" i="1" s="1"/>
  <c r="W675" i="1"/>
  <c r="X675" i="1" s="1"/>
  <c r="W679" i="1"/>
  <c r="X679" i="1" s="1"/>
  <c r="W683" i="1"/>
  <c r="X683" i="1" s="1"/>
  <c r="W687" i="1"/>
  <c r="X687" i="1" s="1"/>
  <c r="W691" i="1"/>
  <c r="X691" i="1" s="1"/>
  <c r="W695" i="1"/>
  <c r="X695" i="1" s="1"/>
  <c r="W699" i="1"/>
  <c r="X699" i="1" s="1"/>
  <c r="W703" i="1"/>
  <c r="X703" i="1" s="1"/>
  <c r="W707" i="1"/>
  <c r="X707" i="1" s="1"/>
  <c r="W711" i="1"/>
  <c r="X711" i="1" s="1"/>
  <c r="W719" i="1"/>
  <c r="X719" i="1" s="1"/>
  <c r="W727" i="1"/>
  <c r="X727" i="1" s="1"/>
  <c r="W735" i="1"/>
  <c r="X735" i="1" s="1"/>
  <c r="W743" i="1"/>
  <c r="X743" i="1" s="1"/>
  <c r="W751" i="1"/>
  <c r="X751" i="1" s="1"/>
  <c r="W759" i="1"/>
  <c r="X759" i="1" s="1"/>
  <c r="W768" i="1"/>
  <c r="X768" i="1" s="1"/>
  <c r="W776" i="1"/>
  <c r="X776" i="1" s="1"/>
  <c r="W784" i="1"/>
  <c r="X784" i="1" s="1"/>
  <c r="W792" i="1"/>
  <c r="X792" i="1" s="1"/>
  <c r="W800" i="1"/>
  <c r="X800" i="1" s="1"/>
  <c r="W808" i="1"/>
  <c r="X808" i="1" s="1"/>
  <c r="W816" i="1"/>
  <c r="X816" i="1" s="1"/>
  <c r="W824" i="1"/>
  <c r="X824" i="1" s="1"/>
  <c r="W832" i="1"/>
  <c r="X832" i="1" s="1"/>
  <c r="W840" i="1"/>
  <c r="X840" i="1" s="1"/>
  <c r="W848" i="1"/>
  <c r="X848" i="1" s="1"/>
  <c r="W770" i="1"/>
  <c r="X770" i="1" s="1"/>
  <c r="W778" i="1"/>
  <c r="X778" i="1" s="1"/>
  <c r="W786" i="1"/>
  <c r="X786" i="1" s="1"/>
  <c r="W794" i="1"/>
  <c r="X794" i="1" s="1"/>
  <c r="W802" i="1"/>
  <c r="X802" i="1" s="1"/>
  <c r="W810" i="1"/>
  <c r="X810" i="1" s="1"/>
  <c r="W818" i="1"/>
  <c r="X818" i="1" s="1"/>
  <c r="W826" i="1"/>
  <c r="X826" i="1" s="1"/>
  <c r="W834" i="1"/>
  <c r="X834" i="1" s="1"/>
  <c r="W842" i="1"/>
  <c r="X842" i="1" s="1"/>
  <c r="W850" i="1"/>
  <c r="X850" i="1" s="1"/>
  <c r="W151" i="1"/>
  <c r="X151" i="1" s="1"/>
  <c r="W167" i="1"/>
  <c r="X167" i="1" s="1"/>
  <c r="W183" i="1"/>
  <c r="X183" i="1" s="1"/>
  <c r="W199" i="1"/>
  <c r="X199" i="1" s="1"/>
  <c r="W215" i="1"/>
  <c r="X215" i="1" s="1"/>
  <c r="W22" i="1"/>
  <c r="X22" i="1" s="1"/>
  <c r="W83" i="1"/>
  <c r="X83" i="1" s="1"/>
  <c r="W91" i="1"/>
  <c r="X91" i="1" s="1"/>
  <c r="W99" i="1"/>
  <c r="X99" i="1" s="1"/>
  <c r="W107" i="1"/>
  <c r="X107" i="1" s="1"/>
  <c r="W115" i="1"/>
  <c r="X115" i="1" s="1"/>
  <c r="W123" i="1"/>
  <c r="X123" i="1" s="1"/>
  <c r="W131" i="1"/>
  <c r="X131" i="1" s="1"/>
  <c r="W51" i="1"/>
  <c r="X51" i="1" s="1"/>
  <c r="W59" i="1"/>
  <c r="X59" i="1" s="1"/>
  <c r="W67" i="1"/>
  <c r="X67" i="1" s="1"/>
  <c r="W75" i="1"/>
  <c r="X75" i="1" s="1"/>
  <c r="W33" i="1"/>
  <c r="X33" i="1" s="1"/>
  <c r="W37" i="1"/>
  <c r="X37" i="1" s="1"/>
  <c r="W41" i="1"/>
  <c r="X41" i="1" s="1"/>
  <c r="W45" i="1"/>
  <c r="X45" i="1" s="1"/>
  <c r="W53" i="1"/>
  <c r="X53" i="1" s="1"/>
  <c r="W61" i="1"/>
  <c r="X61" i="1" s="1"/>
  <c r="W69" i="1"/>
  <c r="X69" i="1" s="1"/>
  <c r="W77" i="1"/>
  <c r="X77" i="1" s="1"/>
  <c r="W85" i="1"/>
  <c r="X85" i="1" s="1"/>
  <c r="W93" i="1"/>
  <c r="X93" i="1" s="1"/>
  <c r="W101" i="1"/>
  <c r="X101" i="1" s="1"/>
  <c r="W109" i="1"/>
  <c r="X109" i="1" s="1"/>
  <c r="W117" i="1"/>
  <c r="X117" i="1" s="1"/>
  <c r="W125" i="1"/>
  <c r="X125" i="1" s="1"/>
  <c r="W133" i="1"/>
  <c r="X133" i="1" s="1"/>
  <c r="W143" i="1"/>
  <c r="X143" i="1" s="1"/>
  <c r="W159" i="1"/>
  <c r="X159" i="1" s="1"/>
  <c r="W175" i="1"/>
  <c r="X175" i="1" s="1"/>
  <c r="W191" i="1"/>
  <c r="X191" i="1" s="1"/>
  <c r="W207" i="1"/>
  <c r="X207" i="1" s="1"/>
  <c r="W225" i="1"/>
  <c r="X225" i="1" s="1"/>
  <c r="W233" i="1"/>
  <c r="X233" i="1" s="1"/>
  <c r="W241" i="1"/>
  <c r="X241" i="1" s="1"/>
  <c r="W249" i="1"/>
  <c r="X249" i="1" s="1"/>
  <c r="W140" i="1"/>
  <c r="X140" i="1" s="1"/>
  <c r="W144" i="1"/>
  <c r="X144" i="1" s="1"/>
  <c r="W148" i="1"/>
  <c r="X148" i="1" s="1"/>
  <c r="W152" i="1"/>
  <c r="X152" i="1" s="1"/>
  <c r="W156" i="1"/>
  <c r="X156" i="1" s="1"/>
  <c r="W160" i="1"/>
  <c r="X160" i="1" s="1"/>
  <c r="W164" i="1"/>
  <c r="X164" i="1" s="1"/>
  <c r="W168" i="1"/>
  <c r="X168" i="1" s="1"/>
  <c r="W172" i="1"/>
  <c r="X172" i="1" s="1"/>
  <c r="W176" i="1"/>
  <c r="X176" i="1" s="1"/>
  <c r="W180" i="1"/>
  <c r="X180" i="1" s="1"/>
  <c r="W184" i="1"/>
  <c r="X184" i="1" s="1"/>
  <c r="W188" i="1"/>
  <c r="X188" i="1" s="1"/>
  <c r="W192" i="1"/>
  <c r="X192" i="1" s="1"/>
  <c r="W196" i="1"/>
  <c r="X196" i="1" s="1"/>
  <c r="W200" i="1"/>
  <c r="X200" i="1" s="1"/>
  <c r="W204" i="1"/>
  <c r="X204" i="1" s="1"/>
  <c r="W208" i="1"/>
  <c r="X208" i="1" s="1"/>
  <c r="W212" i="1"/>
  <c r="X212" i="1" s="1"/>
  <c r="W216" i="1"/>
  <c r="X216" i="1" s="1"/>
  <c r="W220" i="1"/>
  <c r="X220" i="1" s="1"/>
  <c r="W227" i="1"/>
  <c r="X227" i="1" s="1"/>
  <c r="W228" i="1"/>
  <c r="X228" i="1" s="1"/>
  <c r="W235" i="1"/>
  <c r="X235" i="1" s="1"/>
  <c r="W236" i="1"/>
  <c r="X236" i="1" s="1"/>
  <c r="W243" i="1"/>
  <c r="X243" i="1" s="1"/>
  <c r="W244" i="1"/>
  <c r="X244" i="1" s="1"/>
  <c r="W251" i="1"/>
  <c r="X251" i="1" s="1"/>
  <c r="W252" i="1"/>
  <c r="X252" i="1" s="1"/>
  <c r="W222" i="1"/>
  <c r="X222" i="1" s="1"/>
  <c r="W230" i="1"/>
  <c r="X230" i="1" s="1"/>
  <c r="W238" i="1"/>
  <c r="X238" i="1" s="1"/>
  <c r="W246" i="1"/>
  <c r="X246" i="1" s="1"/>
  <c r="W254" i="1"/>
  <c r="X254" i="1" s="1"/>
  <c r="W260" i="1"/>
  <c r="X260" i="1" s="1"/>
  <c r="W268" i="1"/>
  <c r="X268" i="1" s="1"/>
  <c r="W276" i="1"/>
  <c r="X276" i="1" s="1"/>
  <c r="W284" i="1"/>
  <c r="X284" i="1" s="1"/>
  <c r="W292" i="1"/>
  <c r="X292" i="1" s="1"/>
  <c r="W300" i="1"/>
  <c r="X300" i="1" s="1"/>
  <c r="W308" i="1"/>
  <c r="X308" i="1" s="1"/>
  <c r="W316" i="1"/>
  <c r="X316" i="1" s="1"/>
  <c r="W324" i="1"/>
  <c r="X324" i="1" s="1"/>
  <c r="W332" i="1"/>
  <c r="X332" i="1" s="1"/>
  <c r="W340" i="1"/>
  <c r="X340" i="1" s="1"/>
  <c r="W348" i="1"/>
  <c r="X348" i="1" s="1"/>
  <c r="W256" i="1"/>
  <c r="X256" i="1" s="1"/>
  <c r="W262" i="1"/>
  <c r="X262" i="1" s="1"/>
  <c r="W270" i="1"/>
  <c r="X270" i="1" s="1"/>
  <c r="W278" i="1"/>
  <c r="X278" i="1" s="1"/>
  <c r="W286" i="1"/>
  <c r="X286" i="1" s="1"/>
  <c r="W294" i="1"/>
  <c r="X294" i="1" s="1"/>
  <c r="W302" i="1"/>
  <c r="X302" i="1" s="1"/>
  <c r="W310" i="1"/>
  <c r="X310" i="1" s="1"/>
  <c r="W318" i="1"/>
  <c r="X318" i="1" s="1"/>
  <c r="W326" i="1"/>
  <c r="X326" i="1" s="1"/>
  <c r="W334" i="1"/>
  <c r="X334" i="1" s="1"/>
  <c r="W342" i="1"/>
  <c r="X342" i="1" s="1"/>
  <c r="W350" i="1"/>
  <c r="X350" i="1" s="1"/>
  <c r="C137" i="21" l="1"/>
  <c r="H172" i="21"/>
  <c r="H125" i="21"/>
  <c r="B137" i="21"/>
  <c r="E137" i="21" s="1"/>
  <c r="H124" i="21"/>
  <c r="H137" i="21"/>
  <c r="H126" i="21"/>
  <c r="E132" i="21"/>
  <c r="E135" i="21"/>
  <c r="H127" i="21"/>
  <c r="H123" i="21"/>
  <c r="H130" i="21"/>
  <c r="H122" i="21"/>
  <c r="H135" i="21"/>
  <c r="H132" i="21"/>
  <c r="H131" i="21"/>
  <c r="E136" i="21"/>
  <c r="M1437" i="1"/>
  <c r="N1430" i="1"/>
  <c r="Q1430" i="1" s="1"/>
  <c r="N1429" i="1"/>
  <c r="Q1429" i="1" s="1"/>
  <c r="N1432" i="1"/>
  <c r="Q1432" i="1" s="1"/>
  <c r="N1431" i="1"/>
  <c r="Q1431" i="1" s="1"/>
  <c r="E1439" i="1"/>
  <c r="L1437" i="1"/>
  <c r="L1439" i="1" s="1"/>
  <c r="O141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<sst xmlns="http://schemas.openxmlformats.org/spreadsheetml/2006/main" count="8731" uniqueCount="592">
  <si>
    <t>Student e-mailadres</t>
  </si>
  <si>
    <t>Score toets Yellow Belt</t>
  </si>
  <si>
    <t>Afrondingsdatum Yellow Belt</t>
  </si>
  <si>
    <t>Voortgang Yellow Belt</t>
  </si>
  <si>
    <t>Cumulatieve score Yellow Belt</t>
  </si>
  <si>
    <t>StatusDatum</t>
  </si>
  <si>
    <t>Opmerking</t>
  </si>
  <si>
    <t>N/A</t>
  </si>
  <si>
    <t>-</t>
  </si>
  <si>
    <t>Not Taken</t>
  </si>
  <si>
    <t>adam.attamimi@hva.nl</t>
  </si>
  <si>
    <t>Adil.jouhri@hva.nl</t>
  </si>
  <si>
    <t>aghil.rezai@hva.nl</t>
  </si>
  <si>
    <t>amine.el.mourid@hva.nl</t>
  </si>
  <si>
    <t>angelo.sebastian@hva.nl</t>
  </si>
  <si>
    <t>ashoetosh.kakkar@hva.nl</t>
  </si>
  <si>
    <t>ayden.anthonie@hva.nl</t>
  </si>
  <si>
    <t>betul.yumusak@hva.nl</t>
  </si>
  <si>
    <t>breth.lanser@hva.nl</t>
  </si>
  <si>
    <t>charlene.wong@hva.nl</t>
  </si>
  <si>
    <t>chenoa.velazquez.pilgrim@hva.nl</t>
  </si>
  <si>
    <t>dastan.mairuf@hva.nl</t>
  </si>
  <si>
    <t>demi.van.emden@hva.nl</t>
  </si>
  <si>
    <t>elize.baartwijk@hva.nl</t>
  </si>
  <si>
    <t>fiston.conte@hva.nl</t>
  </si>
  <si>
    <t>gligor.jancev@hva.nl</t>
  </si>
  <si>
    <t>hazem.onaiz@hva.nl</t>
  </si>
  <si>
    <t>hermela.semere@hva.nl</t>
  </si>
  <si>
    <t>huib.bakker@hva.nl</t>
  </si>
  <si>
    <t>ikhlas.balich@hva.nl</t>
  </si>
  <si>
    <t>ilkay.uyar@hva.nl</t>
  </si>
  <si>
    <t>jamal.bakour@hva.nl</t>
  </si>
  <si>
    <t>jarron.van.kessel@hva.nl</t>
  </si>
  <si>
    <t>jevon.smit@hva.nl</t>
  </si>
  <si>
    <t>jochem.hoekstra@hva.nl</t>
  </si>
  <si>
    <t>joris.kool2@hva.nl</t>
  </si>
  <si>
    <t>Julian.Dekker@hva.nl</t>
  </si>
  <si>
    <t>julian.van.t.oor@hva.nl</t>
  </si>
  <si>
    <t>kai.hassink@hva.nl</t>
  </si>
  <si>
    <t>kenan.florusse@hva.nl</t>
  </si>
  <si>
    <t>kevin.bartling@hva.nl</t>
  </si>
  <si>
    <t>kjell.van.vuren@hva.nl</t>
  </si>
  <si>
    <t>lindy.antonisse@hva.nl</t>
  </si>
  <si>
    <t>luc.bond@hva.nl</t>
  </si>
  <si>
    <t>lucas.brinkman@hva.nl</t>
  </si>
  <si>
    <t>martijn.van.dijk8@hva.nl</t>
  </si>
  <si>
    <t>marwa.darwiish@hva.nl</t>
  </si>
  <si>
    <t>mees.de.ruiter@hva.nl</t>
  </si>
  <si>
    <t>milan.dikkeboom@hva.nl</t>
  </si>
  <si>
    <t>mirna.moursy@hva.nl</t>
  </si>
  <si>
    <t>mohamed.bouyachfar@hva.nl</t>
  </si>
  <si>
    <t>naoufal.el.youzghi@hva.nl</t>
  </si>
  <si>
    <t>nick.joor@hva.nl</t>
  </si>
  <si>
    <t>nickolas.laret@hva.nl</t>
  </si>
  <si>
    <t>nisrin.hayani.seddik@hva.nl</t>
  </si>
  <si>
    <t>noella.lomas@hva.nl</t>
  </si>
  <si>
    <t>nupel.ruzgar@hva.nl</t>
  </si>
  <si>
    <t>olivier.petit@hva.nl</t>
  </si>
  <si>
    <t>paul.de.vries.de.vries@hva.nl</t>
  </si>
  <si>
    <t>pieter.marres@hva.nl</t>
  </si>
  <si>
    <t>rens.groot2@hva.nl</t>
  </si>
  <si>
    <t>rowan.dekker@hva.nl</t>
  </si>
  <si>
    <t>sara.de.graaf@hva.nl</t>
  </si>
  <si>
    <t>Sybren.huurdeman@hva.nl</t>
  </si>
  <si>
    <t>teun.rinkes@hva.nl</t>
  </si>
  <si>
    <t>wesley.coster@hva.nl</t>
  </si>
  <si>
    <t>yasin.gokmen@hva.nl</t>
  </si>
  <si>
    <t>yassine.el.bakali@hva.nl</t>
  </si>
  <si>
    <t>youri.kenter@hva.nl</t>
  </si>
  <si>
    <t>70.0%</t>
  </si>
  <si>
    <t>82.0%</t>
  </si>
  <si>
    <t>85.8%</t>
  </si>
  <si>
    <t>78.3%</t>
  </si>
  <si>
    <t>88.7%</t>
  </si>
  <si>
    <t>87.9%</t>
  </si>
  <si>
    <t>Jamillabah@outlook.com</t>
  </si>
  <si>
    <t>100.0%</t>
  </si>
  <si>
    <t>79.2%</t>
  </si>
  <si>
    <t>95.0%</t>
  </si>
  <si>
    <t>lamyae.el.hilali@hva.nl</t>
  </si>
  <si>
    <t>89.1%</t>
  </si>
  <si>
    <t>Lucas.van.den.bergh@hva.nl</t>
  </si>
  <si>
    <t>76.6%</t>
  </si>
  <si>
    <t>96.5%</t>
  </si>
  <si>
    <t>sander.buikman@hva.nl</t>
  </si>
  <si>
    <t>98.0%</t>
  </si>
  <si>
    <t>79.3%</t>
  </si>
  <si>
    <t>80.1%</t>
  </si>
  <si>
    <t>82.2%</t>
  </si>
  <si>
    <t>89.4%</t>
  </si>
  <si>
    <t>84.9%</t>
  </si>
  <si>
    <t>94.0%</t>
  </si>
  <si>
    <t>95.3%</t>
  </si>
  <si>
    <t>84.4%</t>
  </si>
  <si>
    <t>82.9%</t>
  </si>
  <si>
    <t>91.1%</t>
  </si>
  <si>
    <t>88.0%</t>
  </si>
  <si>
    <t>84.7%</t>
  </si>
  <si>
    <t>87.8%</t>
  </si>
  <si>
    <t>87.0%</t>
  </si>
  <si>
    <t>78.1%</t>
  </si>
  <si>
    <t>89.2%</t>
  </si>
  <si>
    <t>79.4%</t>
  </si>
  <si>
    <t>59.8%</t>
  </si>
  <si>
    <t>94.6%</t>
  </si>
  <si>
    <t>79.8%</t>
  </si>
  <si>
    <t>88.4%</t>
  </si>
  <si>
    <t>80.3%</t>
  </si>
  <si>
    <t>saverinio.morman@hva.nl</t>
  </si>
  <si>
    <t>sem.van.munster@hva.nl</t>
  </si>
  <si>
    <t>90.8%</t>
  </si>
  <si>
    <t>72.0%</t>
  </si>
  <si>
    <t>89.5%</t>
  </si>
  <si>
    <t>amin.cherradi.benssebahe@hva.nl</t>
  </si>
  <si>
    <t>71.0%</t>
  </si>
  <si>
    <t>bjornleveld@gmail.com</t>
  </si>
  <si>
    <t>92.1%</t>
  </si>
  <si>
    <t>89.9%</t>
  </si>
  <si>
    <t>gentaly.thode@hva.nl</t>
  </si>
  <si>
    <t>77.4%</t>
  </si>
  <si>
    <t>91.8%</t>
  </si>
  <si>
    <t>77.1%</t>
  </si>
  <si>
    <t>84.8%</t>
  </si>
  <si>
    <t>83.8%</t>
  </si>
  <si>
    <t>88.3%</t>
  </si>
  <si>
    <t>job.knook@hva.nl</t>
  </si>
  <si>
    <t>76.5%</t>
  </si>
  <si>
    <t>mokhtar.hannun@hva.nl</t>
  </si>
  <si>
    <t>60.8%</t>
  </si>
  <si>
    <t>83.2%</t>
  </si>
  <si>
    <t>91.5%</t>
  </si>
  <si>
    <t>sarah.farag@hva.nl</t>
  </si>
  <si>
    <t>thirsa.lageweg@hva.nl</t>
  </si>
  <si>
    <t>tyler.kopra@hva.nl</t>
  </si>
  <si>
    <t>89.7%</t>
  </si>
  <si>
    <t>87.3%</t>
  </si>
  <si>
    <t>95.9%</t>
  </si>
  <si>
    <t>92.4%</t>
  </si>
  <si>
    <t>89.6%</t>
  </si>
  <si>
    <t>72.7%</t>
  </si>
  <si>
    <t>93.0%</t>
  </si>
  <si>
    <t>90.6%</t>
  </si>
  <si>
    <t>62.6%</t>
  </si>
  <si>
    <t>87.4%</t>
  </si>
  <si>
    <t>86.8%</t>
  </si>
  <si>
    <t>78.4%</t>
  </si>
  <si>
    <t>75.2%</t>
  </si>
  <si>
    <t>81.0%</t>
  </si>
  <si>
    <t>83.1%</t>
  </si>
  <si>
    <t>78.9%</t>
  </si>
  <si>
    <t>82.3%</t>
  </si>
  <si>
    <t>87.2%</t>
  </si>
  <si>
    <t>77.2%</t>
  </si>
  <si>
    <t>78.7%</t>
  </si>
  <si>
    <t>75.7%</t>
  </si>
  <si>
    <t>66.0%</t>
  </si>
  <si>
    <t>83.3%</t>
  </si>
  <si>
    <t>96.1%</t>
  </si>
  <si>
    <t>81.6%</t>
  </si>
  <si>
    <t>78.6%</t>
  </si>
  <si>
    <t>83.6%</t>
  </si>
  <si>
    <t>86.3%</t>
  </si>
  <si>
    <t>71.6%</t>
  </si>
  <si>
    <t>92.5%</t>
  </si>
  <si>
    <t>75.5%</t>
  </si>
  <si>
    <t>93.1%</t>
  </si>
  <si>
    <t>89.3%</t>
  </si>
  <si>
    <t>79.6%</t>
  </si>
  <si>
    <t>68.4%</t>
  </si>
  <si>
    <t>74.0%</t>
  </si>
  <si>
    <t>94.2%</t>
  </si>
  <si>
    <t>90.9%</t>
  </si>
  <si>
    <t>80.5%</t>
  </si>
  <si>
    <t>65.8%</t>
  </si>
  <si>
    <t>69.1%</t>
  </si>
  <si>
    <t>76.1%</t>
  </si>
  <si>
    <t>83.9%</t>
  </si>
  <si>
    <t>92.3%</t>
  </si>
  <si>
    <t>84.6%</t>
  </si>
  <si>
    <t>78.5%</t>
  </si>
  <si>
    <t>71.7%</t>
  </si>
  <si>
    <t>82.1%</t>
  </si>
  <si>
    <t>75.1%</t>
  </si>
  <si>
    <t>76.3%</t>
  </si>
  <si>
    <t>88.6%</t>
  </si>
  <si>
    <t>76.4%</t>
  </si>
  <si>
    <t>72.8%</t>
  </si>
  <si>
    <t>75.4%</t>
  </si>
  <si>
    <t>66.7%</t>
  </si>
  <si>
    <t>80.0%</t>
  </si>
  <si>
    <t>91.7%</t>
  </si>
  <si>
    <t>71.4%</t>
  </si>
  <si>
    <t>59.2%</t>
  </si>
  <si>
    <t>75.8%</t>
  </si>
  <si>
    <t>77.3%</t>
  </si>
  <si>
    <t>85.2%</t>
  </si>
  <si>
    <t>79.5%</t>
  </si>
  <si>
    <t>76.7%</t>
  </si>
  <si>
    <t>72.1%</t>
  </si>
  <si>
    <t>85.5%</t>
  </si>
  <si>
    <t>73.1%</t>
  </si>
  <si>
    <t>79.1%</t>
  </si>
  <si>
    <t>74.5%</t>
  </si>
  <si>
    <t>70.3%</t>
  </si>
  <si>
    <t>74.6%</t>
  </si>
  <si>
    <t>79.0%</t>
  </si>
  <si>
    <t>85.6%</t>
  </si>
  <si>
    <t>80.4%</t>
  </si>
  <si>
    <t>82.7%</t>
  </si>
  <si>
    <t>87.5%</t>
  </si>
  <si>
    <t>66.8%</t>
  </si>
  <si>
    <t>91.6%</t>
  </si>
  <si>
    <t>71.5%</t>
  </si>
  <si>
    <t>57.5%</t>
  </si>
  <si>
    <t>81.5%</t>
  </si>
  <si>
    <t>78.0%</t>
  </si>
  <si>
    <t>90.0%</t>
  </si>
  <si>
    <t>85.0%</t>
  </si>
  <si>
    <t>71.2%</t>
  </si>
  <si>
    <t>77.5%</t>
  </si>
  <si>
    <t>90.2%</t>
  </si>
  <si>
    <t>80.7%</t>
  </si>
  <si>
    <t>70.4%</t>
  </si>
  <si>
    <t>77.0%</t>
  </si>
  <si>
    <t>85.1%</t>
  </si>
  <si>
    <t>75.0%</t>
  </si>
  <si>
    <t>86.7%</t>
  </si>
  <si>
    <t>88.8%</t>
  </si>
  <si>
    <t>73.7%</t>
  </si>
  <si>
    <t>80.6%</t>
  </si>
  <si>
    <t>74.8%</t>
  </si>
  <si>
    <t>54.1%</t>
  </si>
  <si>
    <t>80.2%</t>
  </si>
  <si>
    <t>79.7%</t>
  </si>
  <si>
    <t>70.6%</t>
  </si>
  <si>
    <t>85.9%</t>
  </si>
  <si>
    <t>Quiz Retakes Exhausted</t>
  </si>
  <si>
    <t>77.8%</t>
  </si>
  <si>
    <t>82.8%</t>
  </si>
  <si>
    <t>50.0%</t>
  </si>
  <si>
    <t>84.2%</t>
  </si>
  <si>
    <t>83.0%</t>
  </si>
  <si>
    <t>86.5%</t>
  </si>
  <si>
    <t>90.7%</t>
  </si>
  <si>
    <t>73.6%</t>
  </si>
  <si>
    <t>marwan.aznou@hva.nl</t>
  </si>
  <si>
    <t>41.2%</t>
  </si>
  <si>
    <t>94.4%</t>
  </si>
  <si>
    <t>79.9%</t>
  </si>
  <si>
    <t>86.0%</t>
  </si>
  <si>
    <t>81.1%</t>
  </si>
  <si>
    <t>85.3%</t>
  </si>
  <si>
    <t>73.0%</t>
  </si>
  <si>
    <t>72.9%</t>
  </si>
  <si>
    <t>75.9%</t>
  </si>
  <si>
    <t>90.5%</t>
  </si>
  <si>
    <t>68.0%</t>
  </si>
  <si>
    <t>55.1%</t>
  </si>
  <si>
    <t>80.9%</t>
  </si>
  <si>
    <t>89.8%</t>
  </si>
  <si>
    <t>87.7%</t>
  </si>
  <si>
    <t>kees.bond2@hva.nl</t>
  </si>
  <si>
    <t>73.8%</t>
  </si>
  <si>
    <t>36.8%</t>
  </si>
  <si>
    <t>72.3%</t>
  </si>
  <si>
    <t>96.3%</t>
  </si>
  <si>
    <t>83.5%</t>
  </si>
  <si>
    <t>81.4%</t>
  </si>
  <si>
    <t>68.8%</t>
  </si>
  <si>
    <t>81.8%</t>
  </si>
  <si>
    <t>72.6%</t>
  </si>
  <si>
    <t>90.3%</t>
  </si>
  <si>
    <t>36.1%</t>
  </si>
  <si>
    <t>76.2%</t>
  </si>
  <si>
    <t>37.2%</t>
  </si>
  <si>
    <t>75.3%</t>
  </si>
  <si>
    <t>37.3%</t>
  </si>
  <si>
    <t>Klas</t>
  </si>
  <si>
    <t>Week</t>
  </si>
  <si>
    <t>Blok</t>
  </si>
  <si>
    <t>FC2C</t>
  </si>
  <si>
    <t>abdelilah.zaryouh@hva.nl</t>
  </si>
  <si>
    <t>ahmad.zaitoun@hva.nl</t>
  </si>
  <si>
    <t>FC2D</t>
  </si>
  <si>
    <t>Ahmet.sener@hva.nl</t>
  </si>
  <si>
    <t>anastasija.kohceva@hva.nl</t>
  </si>
  <si>
    <t>Bas.kimman@hva.nl</t>
  </si>
  <si>
    <t>djabir.hoceine@hva.nl</t>
  </si>
  <si>
    <t>glenn.hendriks@hva.nl</t>
  </si>
  <si>
    <t>grace.sekyere@hva.nl</t>
  </si>
  <si>
    <t>ilias.el.mahdaoui@hva.nl</t>
  </si>
  <si>
    <t>Isabel.mac.intosh@hva.nl</t>
  </si>
  <si>
    <t>jair.hek@hva.nl</t>
  </si>
  <si>
    <t>jesse.leenders@hva.nl</t>
  </si>
  <si>
    <t>jord.karsten@hva.nl</t>
  </si>
  <si>
    <t>joyce.koning@hva.nl</t>
  </si>
  <si>
    <t>julian.marragony@hva.nl</t>
  </si>
  <si>
    <t>jurre.dennebos@hva.nl</t>
  </si>
  <si>
    <t>Kyron.leerdam@hva.nl</t>
  </si>
  <si>
    <t>30.0%</t>
  </si>
  <si>
    <t>luciayro.blijd@hva.nl</t>
  </si>
  <si>
    <t>lysanne.scheij@hva.nl</t>
  </si>
  <si>
    <t>melvin.braamzeel@hva.nl</t>
  </si>
  <si>
    <t>mohit.dass@hva.nl</t>
  </si>
  <si>
    <t>molito.fego@hva.nl</t>
  </si>
  <si>
    <t>Mudassir05@outlook.com</t>
  </si>
  <si>
    <t>narek.manukjan@hva.nl</t>
  </si>
  <si>
    <t>remy.akbar@hva.nl</t>
  </si>
  <si>
    <t>rowan.santing@hva.nl</t>
  </si>
  <si>
    <t>sayfeddine.el.habri@hva.nl</t>
  </si>
  <si>
    <t>tommy.polfliet@hva.nl</t>
  </si>
  <si>
    <t>yasmine.boubakri@hva.nl</t>
  </si>
  <si>
    <t>youssra.afreha@hva.nl</t>
  </si>
  <si>
    <t>88.2%</t>
  </si>
  <si>
    <t>85.4%</t>
  </si>
  <si>
    <t>81.9%</t>
  </si>
  <si>
    <t>74.3%</t>
  </si>
  <si>
    <t>68.3%</t>
  </si>
  <si>
    <t>sebas.de.nie2@hva.nl</t>
  </si>
  <si>
    <t>89.0%</t>
  </si>
  <si>
    <t>80.8%</t>
  </si>
  <si>
    <t>64.4%</t>
  </si>
  <si>
    <t>xuyuan.yang@hva.nl</t>
  </si>
  <si>
    <t>zia.dinmohamed@hva.nl</t>
  </si>
  <si>
    <t>65.3%</t>
  </si>
  <si>
    <t>35.7%</t>
  </si>
  <si>
    <t>69.7%</t>
  </si>
  <si>
    <t>81.3%</t>
  </si>
  <si>
    <t>70.7%</t>
  </si>
  <si>
    <t>90.1%</t>
  </si>
  <si>
    <t>75.6%</t>
  </si>
  <si>
    <t>63.1%</t>
  </si>
  <si>
    <t>74.1%</t>
  </si>
  <si>
    <t>ashraf.hafid@hva.nl</t>
  </si>
  <si>
    <t>67.3%</t>
  </si>
  <si>
    <t>84.1%</t>
  </si>
  <si>
    <t>91.9%</t>
  </si>
  <si>
    <t>67.6%</t>
  </si>
  <si>
    <t>81.7%</t>
  </si>
  <si>
    <t>mohamed.jbari@hva.nl</t>
  </si>
  <si>
    <t>youssef.zeryouh@hva.nl</t>
  </si>
  <si>
    <t>98.1%</t>
  </si>
  <si>
    <t>84.0%</t>
  </si>
  <si>
    <t>Fatima-elk@hotmail.com</t>
  </si>
  <si>
    <t>67.5%</t>
  </si>
  <si>
    <t>82.6%</t>
  </si>
  <si>
    <t>76.9%</t>
  </si>
  <si>
    <t>omar.abdullahi@hva.nl</t>
  </si>
  <si>
    <t>romaissa.kaddouri@hva.nl</t>
  </si>
  <si>
    <t>73.4%</t>
  </si>
  <si>
    <t>68.6%</t>
  </si>
  <si>
    <t>73.5%</t>
  </si>
  <si>
    <t>83.4%</t>
  </si>
  <si>
    <t>damy.kneppers@hva.nl</t>
  </si>
  <si>
    <t>63.3%</t>
  </si>
  <si>
    <t>86.6%</t>
  </si>
  <si>
    <t>63.4%</t>
  </si>
  <si>
    <t>stijn.de.rijk@hva.nl</t>
  </si>
  <si>
    <t>78.8%</t>
  </si>
  <si>
    <t>72.4%</t>
  </si>
  <si>
    <t>code</t>
  </si>
  <si>
    <t>Jaar</t>
  </si>
  <si>
    <t>FC2A</t>
  </si>
  <si>
    <t>FC2B</t>
  </si>
  <si>
    <t>FC2E</t>
  </si>
  <si>
    <t>Totaal</t>
  </si>
  <si>
    <t>=counta(unique(filter)))</t>
  </si>
  <si>
    <t>Blok 1</t>
  </si>
  <si>
    <t>Blok 3</t>
  </si>
  <si>
    <t>=min(filter)</t>
  </si>
  <si>
    <t>=max(filter)</t>
  </si>
  <si>
    <t>=N/A</t>
  </si>
  <si>
    <t>begin</t>
  </si>
  <si>
    <t>eind</t>
  </si>
  <si>
    <t>blok</t>
  </si>
  <si>
    <t>laatste</t>
  </si>
  <si>
    <t>&lt;&gt;datum</t>
  </si>
  <si>
    <t>count</t>
  </si>
  <si>
    <t>Total</t>
  </si>
  <si>
    <t>blok 1</t>
  </si>
  <si>
    <t>maandag</t>
  </si>
  <si>
    <t>blok 3</t>
  </si>
  <si>
    <t>23-24</t>
  </si>
  <si>
    <t>M</t>
  </si>
  <si>
    <t>Score toets YB</t>
  </si>
  <si>
    <t>Afrondingsdatum YB</t>
  </si>
  <si>
    <t>Cumulatieve score YB</t>
  </si>
  <si>
    <t>Voortgang YB</t>
  </si>
  <si>
    <t>PTR</t>
  </si>
  <si>
    <t>JRM</t>
  </si>
  <si>
    <t>FY</t>
  </si>
  <si>
    <t>min days</t>
  </si>
  <si>
    <t>max days</t>
  </si>
  <si>
    <t>92 datapunten</t>
  </si>
  <si>
    <t>24 niet gehaald</t>
  </si>
  <si>
    <t>binnen de lesperiode</t>
  </si>
  <si>
    <t>voor het examen</t>
  </si>
  <si>
    <t>in de verlenging</t>
  </si>
  <si>
    <t>D</t>
  </si>
  <si>
    <t>A</t>
  </si>
  <si>
    <t>I</t>
  </si>
  <si>
    <t>C</t>
  </si>
  <si>
    <t>Praktijkopdracht</t>
  </si>
  <si>
    <t>Toets</t>
  </si>
  <si>
    <t>Intro</t>
  </si>
  <si>
    <t>20 vragen</t>
  </si>
  <si>
    <t>e-learning YB</t>
  </si>
  <si>
    <t>scores toevoegen</t>
  </si>
  <si>
    <t>N/As toevoegen</t>
  </si>
  <si>
    <t>in het volgend blok</t>
  </si>
  <si>
    <t>Hoe zit succes eruit voor dit vak?</t>
  </si>
  <si>
    <t>Minimum aantal uren &gt; Maximaal resultaat</t>
  </si>
  <si>
    <t>Quadrant: uren vs resultaat</t>
  </si>
  <si>
    <t>There is no free lunch</t>
  </si>
  <si>
    <t>15 ECTS</t>
  </si>
  <si>
    <t>Analytics Pagina!</t>
  </si>
  <si>
    <t>TimeToComplete</t>
  </si>
  <si>
    <t>StartDatum</t>
  </si>
  <si>
    <t>average</t>
  </si>
  <si>
    <t>stdev</t>
  </si>
  <si>
    <t>In termen van een poison verdeling:</t>
  </si>
  <si>
    <t>Event : afronden YB</t>
  </si>
  <si>
    <t>Time interval 1 day</t>
  </si>
  <si>
    <t>Aantal succesvol afgerond: k</t>
  </si>
  <si>
    <t>totaal</t>
  </si>
  <si>
    <t>L23</t>
  </si>
  <si>
    <t>stdev.s</t>
  </si>
  <si>
    <t>completed</t>
  </si>
  <si>
    <t>not completed</t>
  </si>
  <si>
    <t>C14758</t>
  </si>
  <si>
    <t>C14152</t>
  </si>
  <si>
    <t>C14913</t>
  </si>
  <si>
    <t>C13376</t>
  </si>
  <si>
    <t>C13357</t>
  </si>
  <si>
    <t>C7043</t>
  </si>
  <si>
    <t>C14612</t>
  </si>
  <si>
    <t>C12936</t>
  </si>
  <si>
    <t>C15800</t>
  </si>
  <si>
    <t>C13527</t>
  </si>
  <si>
    <t>C14175</t>
  </si>
  <si>
    <t>C14486</t>
  </si>
  <si>
    <t>C7047</t>
  </si>
  <si>
    <t>C7011</t>
  </si>
  <si>
    <t>C12607</t>
  </si>
  <si>
    <t>C13005</t>
  </si>
  <si>
    <t>C7106</t>
  </si>
  <si>
    <t>C15708</t>
  </si>
  <si>
    <t>C7078</t>
  </si>
  <si>
    <t>C14661</t>
  </si>
  <si>
    <t>C12945</t>
  </si>
  <si>
    <t>C12577</t>
  </si>
  <si>
    <t>C6974</t>
  </si>
  <si>
    <t>C15403</t>
  </si>
  <si>
    <t>C13071</t>
  </si>
  <si>
    <t>C12964</t>
  </si>
  <si>
    <t>C7126</t>
  </si>
  <si>
    <t>C15126</t>
  </si>
  <si>
    <t>C14623</t>
  </si>
  <si>
    <t>C6983</t>
  </si>
  <si>
    <t>C14214</t>
  </si>
  <si>
    <t>C6895</t>
  </si>
  <si>
    <t>C7009</t>
  </si>
  <si>
    <t>C15084</t>
  </si>
  <si>
    <t>C14206</t>
  </si>
  <si>
    <t>C13572</t>
  </si>
  <si>
    <t>C13126</t>
  </si>
  <si>
    <t>C15387</t>
  </si>
  <si>
    <t>C6986</t>
  </si>
  <si>
    <t>C13070</t>
  </si>
  <si>
    <t>C14443</t>
  </si>
  <si>
    <t>C13108</t>
  </si>
  <si>
    <t>C15367</t>
  </si>
  <si>
    <t>C14502</t>
  </si>
  <si>
    <t>C13259</t>
  </si>
  <si>
    <t>C7014</t>
  </si>
  <si>
    <t>C12978</t>
  </si>
  <si>
    <t>C13332</t>
  </si>
  <si>
    <t>C14327</t>
  </si>
  <si>
    <t>C13315</t>
  </si>
  <si>
    <t>C15011</t>
  </si>
  <si>
    <t>C14227</t>
  </si>
  <si>
    <t>C13037</t>
  </si>
  <si>
    <t>C7085</t>
  </si>
  <si>
    <t>C7039</t>
  </si>
  <si>
    <t>C14991</t>
  </si>
  <si>
    <t>C14936</t>
  </si>
  <si>
    <t>C13045</t>
  </si>
  <si>
    <t>C14613</t>
  </si>
  <si>
    <t>C13384</t>
  </si>
  <si>
    <t>C7040</t>
  </si>
  <si>
    <t>C13549</t>
  </si>
  <si>
    <t>C14648</t>
  </si>
  <si>
    <t>C14562</t>
  </si>
  <si>
    <t>C6940</t>
  </si>
  <si>
    <t>C13603</t>
  </si>
  <si>
    <t>C7115</t>
  </si>
  <si>
    <t>C14205</t>
  </si>
  <si>
    <t>C7080</t>
  </si>
  <si>
    <t>C13740</t>
  </si>
  <si>
    <t>C13481</t>
  </si>
  <si>
    <t>C14177</t>
  </si>
  <si>
    <t>C14256</t>
  </si>
  <si>
    <t>C15808</t>
  </si>
  <si>
    <t>C15041</t>
  </si>
  <si>
    <t>C15125</t>
  </si>
  <si>
    <t>C6953</t>
  </si>
  <si>
    <t>C14365</t>
  </si>
  <si>
    <t>C14108</t>
  </si>
  <si>
    <t>C6994</t>
  </si>
  <si>
    <t>C6897</t>
  </si>
  <si>
    <t>C13760</t>
  </si>
  <si>
    <t>C14967</t>
  </si>
  <si>
    <t>C13468</t>
  </si>
  <si>
    <t>C6913</t>
  </si>
  <si>
    <t>C13052</t>
  </si>
  <si>
    <t>C14225</t>
  </si>
  <si>
    <t>C12632</t>
  </si>
  <si>
    <t>C14142</t>
  </si>
  <si>
    <t>C7000</t>
  </si>
  <si>
    <t>C13290</t>
  </si>
  <si>
    <t>C14228</t>
  </si>
  <si>
    <t>C14938</t>
  </si>
  <si>
    <t>C13494</t>
  </si>
  <si>
    <t>C7048</t>
  </si>
  <si>
    <t>C13354</t>
  </si>
  <si>
    <t>C7131</t>
  </si>
  <si>
    <t>C13948</t>
  </si>
  <si>
    <t>C14380</t>
  </si>
  <si>
    <t>C12668</t>
  </si>
  <si>
    <t>C13772</t>
  </si>
  <si>
    <t>C15139</t>
  </si>
  <si>
    <t>C15135</t>
  </si>
  <si>
    <t>C13393</t>
  </si>
  <si>
    <t>C13334</t>
  </si>
  <si>
    <t>C13333</t>
  </si>
  <si>
    <t>C14841</t>
  </si>
  <si>
    <t>C7094</t>
  </si>
  <si>
    <t>C13480</t>
  </si>
  <si>
    <t>C13670</t>
  </si>
  <si>
    <t>C13100</t>
  </si>
  <si>
    <t>C14475</t>
  </si>
  <si>
    <t>week</t>
  </si>
  <si>
    <t>min</t>
  </si>
  <si>
    <t>max</t>
  </si>
  <si>
    <t>Vakdocent</t>
  </si>
  <si>
    <t>B</t>
  </si>
  <si>
    <t>Docent</t>
  </si>
  <si>
    <t>range</t>
  </si>
  <si>
    <t>comp%</t>
  </si>
  <si>
    <t>TakTijd</t>
  </si>
  <si>
    <t>Groep</t>
  </si>
  <si>
    <t>FC2C-3</t>
  </si>
  <si>
    <t>FC2C-4</t>
  </si>
  <si>
    <t>FC2C-5</t>
  </si>
  <si>
    <t>FC2C-8</t>
  </si>
  <si>
    <t>FC2D-1</t>
  </si>
  <si>
    <t>FC2D-3</t>
  </si>
  <si>
    <t>FC2D-4</t>
  </si>
  <si>
    <t>FC2D-5</t>
  </si>
  <si>
    <t>FC2D-7</t>
  </si>
  <si>
    <t>FC2D-8</t>
  </si>
  <si>
    <t>FC2D-9</t>
  </si>
  <si>
    <t>FC2E-8</t>
  </si>
  <si>
    <t>FC2E-1</t>
  </si>
  <si>
    <t>FC2E-2</t>
  </si>
  <si>
    <t>FC2E-3</t>
  </si>
  <si>
    <t>FC2E-4</t>
  </si>
  <si>
    <t>FC2E-5</t>
  </si>
  <si>
    <t>FC2E-6</t>
  </si>
  <si>
    <t>FC2E-7</t>
  </si>
  <si>
    <t>FC2A-1</t>
  </si>
  <si>
    <t>FC2A-3</t>
  </si>
  <si>
    <t>FC2A-4</t>
  </si>
  <si>
    <t>FC2A-5</t>
  </si>
  <si>
    <t>FC2A-8</t>
  </si>
  <si>
    <t>FC2A-7</t>
  </si>
  <si>
    <t>FC2B-2</t>
  </si>
  <si>
    <t>FC2B-3</t>
  </si>
  <si>
    <t>FC2B-4</t>
  </si>
  <si>
    <t>FC2B-6</t>
  </si>
  <si>
    <t>FC2B-8</t>
  </si>
  <si>
    <t>FC2B-9</t>
  </si>
  <si>
    <t>Adam Attamimi - Not in any group?</t>
  </si>
  <si>
    <t>Pepijn Diederiks - niet voldaan?</t>
  </si>
  <si>
    <t>Brandon Hillert - niet voldaan?</t>
  </si>
  <si>
    <t>Siebren Doesburg - niet voldaan?</t>
  </si>
  <si>
    <t>Nupel Rüzgar - not in any group?</t>
  </si>
  <si>
    <t>Groepen</t>
  </si>
  <si>
    <t>Hoe formuleren? Als je in een goed groepje zit heb je 2x meer kans dat je het ook op tijd af hebt.</t>
  </si>
  <si>
    <t>Student</t>
  </si>
  <si>
    <t>Afrondingsdatum</t>
  </si>
  <si>
    <t>ToetsScore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</si>
</sst>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7" formatCode="yyyy\-mm\-dd;@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ptos Narrow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5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9" fontId="1" fillId="3" borderId="4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2" fillId="2" borderId="4" xfId="0" applyFont="1" applyFill="1" applyBorder="1"/>
    <xf numFmtId="15" fontId="0" fillId="3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left"/>
    </xf>
    <xf numFmtId="0" fontId="6" fillId="0" borderId="4" xfId="4" applyBorder="1" applyAlignment="1">
      <alignment horizontal="center"/>
    </xf>
    <xf numFmtId="0" fontId="6" fillId="3" borderId="4" xfId="4" applyFill="1" applyBorder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 applyAlignment="1">
      <alignment horizontal="center"/>
    </xf>
    <xf numFmtId="164" fontId="0" fillId="0" borderId="5" xfId="1" applyNumberFormat="1" applyFont="1" applyBorder="1" applyAlignment="1"/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5" borderId="0" xfId="0" applyFill="1"/>
    <xf numFmtId="0" fontId="0" fillId="0" borderId="5" xfId="0" applyBorder="1"/>
    <xf numFmtId="15" fontId="0" fillId="6" borderId="2" xfId="0" applyNumberForma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164" fontId="0" fillId="0" borderId="0" xfId="0" applyNumberFormat="1"/>
    <xf numFmtId="15" fontId="0" fillId="6" borderId="0" xfId="0" applyNumberFormat="1" applyFill="1" applyAlignment="1">
      <alignment horizontal="center"/>
    </xf>
    <xf numFmtId="9" fontId="0" fillId="0" borderId="0" xfId="0" applyNumberFormat="1"/>
    <xf numFmtId="15" fontId="0" fillId="0" borderId="0" xfId="0" applyNumberFormat="1"/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/>
    <xf numFmtId="0" fontId="0" fillId="0" borderId="0" xfId="1" applyNumberFormat="1" applyFont="1" applyAlignment="1">
      <alignment horizontal="right"/>
    </xf>
    <xf numFmtId="0" fontId="0" fillId="0" borderId="6" xfId="0" applyBorder="1" applyAlignment="1">
      <alignment horizontal="center"/>
    </xf>
    <xf numFmtId="9" fontId="0" fillId="0" borderId="0" xfId="2" applyFont="1"/>
    <xf numFmtId="164" fontId="0" fillId="7" borderId="0" xfId="0" applyNumberFormat="1" applyFill="1" applyAlignment="1">
      <alignment horizontal="center"/>
    </xf>
    <xf numFmtId="0" fontId="5" fillId="0" borderId="0" xfId="0" applyFont="1" applyAlignment="1">
      <alignment horizontal="left"/>
    </xf>
    <xf numFmtId="9" fontId="2" fillId="2" borderId="0" xfId="0" applyNumberFormat="1" applyFont="1" applyFill="1" applyAlignment="1">
      <alignment horizontal="center"/>
    </xf>
    <xf numFmtId="165" fontId="0" fillId="0" borderId="0" xfId="0" applyNumberFormat="1"/>
    <xf numFmtId="1" fontId="0" fillId="0" borderId="0" xfId="0" applyNumberFormat="1"/>
    <xf numFmtId="165" fontId="0" fillId="0" borderId="0" xfId="0" quotePrefix="1" applyNumberFormat="1"/>
    <xf numFmtId="0" fontId="0" fillId="7" borderId="0" xfId="0" applyFill="1"/>
    <xf numFmtId="1" fontId="0" fillId="7" borderId="0" xfId="0" applyNumberFormat="1" applyFill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9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5" fontId="0" fillId="3" borderId="2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9" fontId="2" fillId="2" borderId="7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5" borderId="5" xfId="0" applyFill="1" applyBorder="1"/>
    <xf numFmtId="0" fontId="4" fillId="4" borderId="0" xfId="3" applyAlignment="1">
      <alignment horizontal="center"/>
    </xf>
    <xf numFmtId="0" fontId="4" fillId="4" borderId="5" xfId="3" applyBorder="1" applyAlignment="1">
      <alignment horizontal="center"/>
    </xf>
    <xf numFmtId="165" fontId="0" fillId="0" borderId="5" xfId="0" applyNumberFormat="1" applyBorder="1"/>
    <xf numFmtId="165" fontId="0" fillId="0" borderId="0" xfId="0" applyNumberFormat="1" applyAlignment="1">
      <alignment horizontal="right"/>
    </xf>
    <xf numFmtId="1" fontId="0" fillId="3" borderId="1" xfId="0" applyNumberForma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67" fontId="2" fillId="2" borderId="7" xfId="0" applyNumberFormat="1" applyFont="1" applyFill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0" fontId="8" fillId="3" borderId="2" xfId="0" applyNumberFormat="1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8" fillId="3" borderId="7" xfId="0" applyNumberFormat="1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9" fontId="2" fillId="2" borderId="9" xfId="0" applyNumberFormat="1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5" fontId="0" fillId="0" borderId="0" xfId="0" applyNumberFormat="1" applyBorder="1"/>
    <xf numFmtId="9" fontId="0" fillId="0" borderId="5" xfId="2" applyFont="1" applyBorder="1"/>
    <xf numFmtId="9" fontId="0" fillId="0" borderId="0" xfId="2" applyFont="1" applyBorder="1"/>
    <xf numFmtId="165" fontId="0" fillId="0" borderId="0" xfId="0" applyNumberFormat="1" applyBorder="1" applyAlignment="1">
      <alignment horizontal="right"/>
    </xf>
    <xf numFmtId="0" fontId="0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3" borderId="2" xfId="0" quotePrefix="1" applyNumberFormat="1" applyFont="1" applyFill="1" applyBorder="1" applyAlignment="1">
      <alignment horizontal="center"/>
    </xf>
    <xf numFmtId="0" fontId="6" fillId="0" borderId="2" xfId="4" applyBorder="1" applyAlignment="1">
      <alignment horizontal="center"/>
    </xf>
    <xf numFmtId="0" fontId="6" fillId="3" borderId="2" xfId="4" applyFill="1" applyBorder="1" applyAlignment="1">
      <alignment horizontal="center"/>
    </xf>
    <xf numFmtId="0" fontId="0" fillId="3" borderId="7" xfId="0" quotePrefix="1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right"/>
    </xf>
    <xf numFmtId="0" fontId="0" fillId="0" borderId="0" xfId="0" applyFill="1"/>
  </cellXfs>
  <cellStyles count="5">
    <cellStyle name="Bad" xfId="3" builtinId="27"/>
    <cellStyle name="Comma" xfId="1" builtinId="3"/>
    <cellStyle name="Hyperlink" xfId="4" builtinId="8"/>
    <cellStyle name="Normal" xfId="0" builtinId="0"/>
    <cellStyle name="Per cent" xfId="2" builtinId="5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5" formatCode="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8E17E6-2250-7C47-B2DB-343A03B7819E}" name="YB_3" displayName="YB_3" ref="A1:J117" headerRowDxfId="145" dataDxfId="143" headerRowBorderDxfId="144" tableBorderDxfId="142" totalsRowBorderDxfId="141">
  <autoFilter ref="A1:J117" xr:uid="{1A58FF1A-F782-4940-A3D9-1CFCCEF6B026}"/>
  <tableColumns count="10">
    <tableColumn id="1" xr3:uid="{72FA1A21-16C4-7249-8FB6-150E41CEDF45}" name="Blok" dataDxfId="140" totalsRowDxfId="139"/>
    <tableColumn id="3" xr3:uid="{946D702D-CF46-A647-A478-ED8CB9C74FE1}" name="StartDatum" dataDxfId="138" totalsRowDxfId="137"/>
    <tableColumn id="4" xr3:uid="{286A5FC9-4CDC-6E48-B3C1-5AFB98A6730B}" name="StatusDatum" dataDxfId="136" totalsRowDxfId="135"/>
    <tableColumn id="5" xr3:uid="{80BC73E2-33D8-9048-8EA0-1F515FF7BFF0}" name="Klas" dataDxfId="134" totalsRowDxfId="133"/>
    <tableColumn id="6" xr3:uid="{24E5C10A-C97D-084B-A300-1DD22B7324AF}" name="Student" dataDxfId="132" totalsRowDxfId="131"/>
    <tableColumn id="9" xr3:uid="{CB4A704C-3FC0-7C49-8865-8BF2332D7D4E}" name="Afrondingsdatum" dataDxfId="130" totalsRowDxfId="129"/>
    <tableColumn id="10" xr3:uid="{405C2CB9-4F4E-7749-94D2-4B89692C9AE4}" name="ToetsScore" dataDxfId="92" totalsRowDxfId="128"/>
    <tableColumn id="12" xr3:uid="{E6185FA3-EAD7-4F49-A77C-2446AEBFCFD1}" name="TakTijd" totalsRowFunction="average" dataDxfId="91" totalsRowDxfId="127">
      <calculatedColumnFormula>IF(YB_3[[#This Row],[Afrondingsdatum]]="N/A","-",YB_3[[#This Row],[Afrondingsdatum]]-YB_3[[#This Row],[StartDatum]])</calculatedColumnFormula>
    </tableColumn>
    <tableColumn id="2" xr3:uid="{3E3F189C-8CDB-B746-8CC1-556E03823931}" name="Docent" dataDxfId="89" totalsRowDxfId="93">
      <calculatedColumnFormula>IF(OR(YB_3[[#This Row],[Klas]]="FC2A",YB_3[[#This Row],[Klas]]="FC2C"),"A","B")</calculatedColumnFormula>
    </tableColumn>
    <tableColumn id="7" xr3:uid="{62D49477-620E-BA42-8D03-C5434446AA0C}" name="Groep" dataDxfId="86" totalsRow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8FF1A-F782-4940-A3D9-1CFCCEF6B026}" name="YB" displayName="YB" ref="A1:N118" totalsRowCount="1" headerRowDxfId="126" dataDxfId="124" headerRowBorderDxfId="125" tableBorderDxfId="123" totalsRowBorderDxfId="122">
  <autoFilter ref="A1:N117" xr:uid="{1A58FF1A-F782-4940-A3D9-1CFCCEF6B026}"/>
  <tableColumns count="14">
    <tableColumn id="13" xr3:uid="{3A7635E0-94B7-304E-980C-47F9EDAD2D2F}" name="Jaar" totalsRowLabel="Total" dataDxfId="121" totalsRowDxfId="85"/>
    <tableColumn id="1" xr3:uid="{4A7A116A-43DA-8C45-820E-9AF80C293497}" name="Blok" dataDxfId="120" totalsRowDxfId="84"/>
    <tableColumn id="2" xr3:uid="{FF5A184C-B974-8249-A363-FCF158451382}" name="Week" dataDxfId="119" totalsRowDxfId="83"/>
    <tableColumn id="3" xr3:uid="{350A93C9-1738-714B-A59C-EDC4FFBFCCEE}" name="StartDatum" dataDxfId="118" totalsRowDxfId="82"/>
    <tableColumn id="4" xr3:uid="{41ADE01E-DD29-5A43-8401-A3E05763312B}" name="StatusDatum" dataDxfId="117" totalsRowDxfId="81"/>
    <tableColumn id="5" xr3:uid="{4D43BA02-0C9C-644D-8D0B-88C052777042}" name="Klas" dataDxfId="116" totalsRowDxfId="80"/>
    <tableColumn id="6" xr3:uid="{3E323921-3457-014C-BF76-FAE387AA89E5}" name="Student e-mailadres" dataDxfId="115" totalsRowDxfId="79"/>
    <tableColumn id="7" xr3:uid="{BA750599-E565-D047-AB8A-099617AE0E24}" name="Voortgang YB" dataDxfId="114" totalsRowDxfId="78"/>
    <tableColumn id="8" xr3:uid="{F5EF0B9B-C624-C64C-B9A0-698E416A843C}" name="Cumulatieve score YB" dataDxfId="113" totalsRowDxfId="77"/>
    <tableColumn id="9" xr3:uid="{F17031A1-55F6-B34D-A7BD-8B21D340BB3E}" name="Afrondingsdatum YB" dataDxfId="112" totalsRowDxfId="76"/>
    <tableColumn id="10" xr3:uid="{29A15C74-22F4-4746-99D7-6137FB576B82}" name="Score toets YB" dataDxfId="111" totalsRowDxfId="75"/>
    <tableColumn id="12" xr3:uid="{8C31B8D1-80C7-9142-8417-CECB182DF44E}" name="TimeToComplete" totalsRowFunction="average" dataDxfId="110" totalsRowDxfId="74">
      <calculatedColumnFormula>IF(YB[[#This Row],[Afrondingsdatum YB]]="N/A","-",YB[[#This Row],[Afrondingsdatum YB]]-YB[[#This Row],[StartDatum]])</calculatedColumnFormula>
    </tableColumn>
    <tableColumn id="11" xr3:uid="{110693AD-43F0-EE47-91A6-5B96DAC894A4}" name="Docent" dataDxfId="88" totalsRowDxfId="73"/>
    <tableColumn id="14" xr3:uid="{123D1982-CC80-6243-ADCB-1E6C1065936E}" name="Groep" dataDxfId="87" totalsRowDxfId="72"/>
  </tableColumns>
  <tableStyleInfo name="TableStyleMedium2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0740A-80CF-ED4F-875C-1B6070EE807E}" name="Table3" displayName="Table3" ref="A1:M1397" totalsRowShown="0" headerRowDxfId="109" dataDxfId="108" tableBorderDxfId="107">
  <autoFilter ref="A1:M1397" xr:uid="{BE20740A-80CF-ED4F-875C-1B6070EE807E}"/>
  <tableColumns count="13">
    <tableColumn id="13" xr3:uid="{5273171F-AB4D-1949-BA9D-60C38801A9CA}" name="Jaar" dataDxfId="106"/>
    <tableColumn id="1" xr3:uid="{2C3DFA76-BC3E-9545-AD2A-E9673BCEF2F2}" name="Blok" dataDxfId="105"/>
    <tableColumn id="2" xr3:uid="{9FA2A5CC-6A6F-7845-B5E1-D7FA5B29B586}" name="Week" dataDxfId="104"/>
    <tableColumn id="12" xr3:uid="{14FE4940-3550-BE4D-8E57-43E0D35CEAD8}" name="StartDatum" dataDxfId="103"/>
    <tableColumn id="3" xr3:uid="{0FAE3CB7-83BF-F64F-8C3B-3EA9981E9C95}" name="StatusDatum" dataDxfId="102"/>
    <tableColumn id="4" xr3:uid="{B6E68D2C-92DC-B243-BEF6-889AB9A4707B}" name="Klas" dataDxfId="101"/>
    <tableColumn id="5" xr3:uid="{047EA294-270C-164A-85B2-1A1DC3595110}" name="Student e-mailadres" dataDxfId="100"/>
    <tableColumn id="6" xr3:uid="{2752D022-47AA-3C4C-BE24-53CFFB23C8A7}" name="Voortgang YB" dataDxfId="99"/>
    <tableColumn id="7" xr3:uid="{65603C69-E7E9-EC4A-B51C-55BC9F50F483}" name="Cumulatieve score YB" dataDxfId="98"/>
    <tableColumn id="8" xr3:uid="{BF14A01A-B4D6-7643-828F-C2E645502170}" name="Afrondingsdatum YB" dataDxfId="97"/>
    <tableColumn id="9" xr3:uid="{181E08E8-E48D-DA4F-9E2B-273A3D507E4E}" name="Score toets YB" dataDxfId="96"/>
    <tableColumn id="10" xr3:uid="{084C601B-5B8A-2F42-A6D8-545727A17B6E}" name="Opmerking" dataDxfId="95">
      <calculatedColumnFormula>SUM(O2:U2)</calculatedColumnFormula>
    </tableColumn>
    <tableColumn id="11" xr3:uid="{3FA169C9-C56A-764A-AA5A-C18EB09EB7A6}" name="TimeToComplete" dataDxfId="94">
      <calculatedColumnFormula>IF(Table3[[#This Row],[Afrondingsdatum YB]]="N/A","-",Table3[[#This Row],[Afrondingsdatum YB]]-Table3[[#This Row],[StartDatum]])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julian.van.t.oor@hva.nl" TargetMode="External"/><Relationship Id="rId1" Type="http://schemas.openxmlformats.org/officeDocument/2006/relationships/hyperlink" Target="mailto:youssef.zeryouh@hva.n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entaly.thode@hva.nl" TargetMode="External"/><Relationship Id="rId2" Type="http://schemas.openxmlformats.org/officeDocument/2006/relationships/hyperlink" Target="mailto:gentaly.thode@hva.nl" TargetMode="External"/><Relationship Id="rId1" Type="http://schemas.openxmlformats.org/officeDocument/2006/relationships/hyperlink" Target="mailto:gentaly.thode@hva.nl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DBB8-FC71-5746-9577-724E5497F79A}">
  <dimension ref="A1:J185"/>
  <sheetViews>
    <sheetView tabSelected="1" workbookViewId="0">
      <selection activeCell="M19" sqref="M19"/>
    </sheetView>
  </sheetViews>
  <sheetFormatPr baseColWidth="10" defaultRowHeight="16" x14ac:dyDescent="0.2"/>
  <cols>
    <col min="3" max="3" width="14.33203125" customWidth="1"/>
    <col min="5" max="5" width="9.6640625" bestFit="1" customWidth="1"/>
    <col min="6" max="6" width="21.6640625" customWidth="1"/>
    <col min="7" max="7" width="18" bestFit="1" customWidth="1"/>
    <col min="8" max="8" width="13.33203125" customWidth="1"/>
    <col min="9" max="9" width="14.33203125" customWidth="1"/>
  </cols>
  <sheetData>
    <row r="1" spans="1:10" x14ac:dyDescent="0.2">
      <c r="A1" s="89" t="s">
        <v>279</v>
      </c>
      <c r="B1" s="103" t="s">
        <v>417</v>
      </c>
      <c r="C1" s="89" t="s">
        <v>5</v>
      </c>
      <c r="D1" s="89" t="s">
        <v>277</v>
      </c>
      <c r="E1" s="89" t="s">
        <v>589</v>
      </c>
      <c r="F1" s="91" t="s">
        <v>590</v>
      </c>
      <c r="G1" s="90" t="s">
        <v>591</v>
      </c>
      <c r="H1" s="90" t="s">
        <v>549</v>
      </c>
      <c r="I1" s="110" t="s">
        <v>546</v>
      </c>
      <c r="J1" s="110" t="s">
        <v>550</v>
      </c>
    </row>
    <row r="2" spans="1:10" x14ac:dyDescent="0.2">
      <c r="A2" s="80">
        <v>1</v>
      </c>
      <c r="B2" s="82">
        <v>45173</v>
      </c>
      <c r="C2" s="82">
        <v>45257</v>
      </c>
      <c r="D2" s="82" t="s">
        <v>363</v>
      </c>
      <c r="E2" s="81" t="s">
        <v>429</v>
      </c>
      <c r="F2" s="85">
        <v>45197</v>
      </c>
      <c r="G2" s="86">
        <v>0.98</v>
      </c>
      <c r="H2" s="81">
        <f>IF(YB_3[[#This Row],[Afrondingsdatum]]="N/A","-",YB_3[[#This Row],[Afrondingsdatum]]-YB_3[[#This Row],[StartDatum]])</f>
        <v>24</v>
      </c>
      <c r="I2" s="108" t="str">
        <f>IF(OR(YB_3[[#This Row],[Klas]]="FC2A",YB_3[[#This Row],[Klas]]="FC2C"),"A","B")</f>
        <v>B</v>
      </c>
      <c r="J2" s="124" t="s">
        <v>8</v>
      </c>
    </row>
    <row r="3" spans="1:10" x14ac:dyDescent="0.2">
      <c r="A3" s="76">
        <v>1</v>
      </c>
      <c r="B3" s="77">
        <v>45173</v>
      </c>
      <c r="C3" s="77">
        <v>45257</v>
      </c>
      <c r="D3" s="77" t="s">
        <v>362</v>
      </c>
      <c r="E3" s="35" t="s">
        <v>430</v>
      </c>
      <c r="F3" s="35" t="s">
        <v>7</v>
      </c>
      <c r="G3" s="35" t="s">
        <v>9</v>
      </c>
      <c r="H3" s="35" t="str">
        <f>IF(YB_3[[#This Row],[Afrondingsdatum]]="N/A","-",YB_3[[#This Row],[Afrondingsdatum]]-YB_3[[#This Row],[StartDatum]])</f>
        <v>-</v>
      </c>
      <c r="I3" s="107" t="str">
        <f>IF(OR(YB_3[[#This Row],[Klas]]="FC2A",YB_3[[#This Row],[Klas]]="FC2C"),"A","B")</f>
        <v>A</v>
      </c>
      <c r="J3" s="118" t="s">
        <v>573</v>
      </c>
    </row>
    <row r="4" spans="1:10" x14ac:dyDescent="0.2">
      <c r="A4" s="80">
        <v>1</v>
      </c>
      <c r="B4" s="82">
        <v>45173</v>
      </c>
      <c r="C4" s="82">
        <v>45257</v>
      </c>
      <c r="D4" s="82" t="s">
        <v>364</v>
      </c>
      <c r="E4" s="81" t="s">
        <v>431</v>
      </c>
      <c r="F4" s="85">
        <v>45219</v>
      </c>
      <c r="G4" s="86">
        <v>0.73</v>
      </c>
      <c r="H4" s="81">
        <f>IF(YB_3[[#This Row],[Afrondingsdatum]]="N/A","-",YB_3[[#This Row],[Afrondingsdatum]]-YB_3[[#This Row],[StartDatum]])</f>
        <v>46</v>
      </c>
      <c r="I4" s="106" t="str">
        <f>IF(OR(YB_3[[#This Row],[Klas]]="FC2A",YB_3[[#This Row],[Klas]]="FC2C"),"A","B")</f>
        <v>B</v>
      </c>
      <c r="J4" s="117" t="s">
        <v>566</v>
      </c>
    </row>
    <row r="5" spans="1:10" x14ac:dyDescent="0.2">
      <c r="A5" s="76">
        <v>1</v>
      </c>
      <c r="B5" s="77">
        <v>45173</v>
      </c>
      <c r="C5" s="77">
        <v>45257</v>
      </c>
      <c r="D5" s="77" t="s">
        <v>362</v>
      </c>
      <c r="E5" s="35" t="s">
        <v>432</v>
      </c>
      <c r="F5" s="35" t="s">
        <v>7</v>
      </c>
      <c r="G5" s="35" t="s">
        <v>9</v>
      </c>
      <c r="H5" s="35" t="str">
        <f>IF(YB_3[[#This Row],[Afrondingsdatum]]="N/A","-",YB_3[[#This Row],[Afrondingsdatum]]-YB_3[[#This Row],[StartDatum]])</f>
        <v>-</v>
      </c>
      <c r="I5" s="107" t="str">
        <f>IF(OR(YB_3[[#This Row],[Klas]]="FC2A",YB_3[[#This Row],[Klas]]="FC2C"),"A","B")</f>
        <v>A</v>
      </c>
      <c r="J5" s="118" t="s">
        <v>571</v>
      </c>
    </row>
    <row r="6" spans="1:10" x14ac:dyDescent="0.2">
      <c r="A6" s="80">
        <v>1</v>
      </c>
      <c r="B6" s="82">
        <v>45173</v>
      </c>
      <c r="C6" s="82">
        <v>45257</v>
      </c>
      <c r="D6" s="82" t="s">
        <v>364</v>
      </c>
      <c r="E6" s="81" t="s">
        <v>433</v>
      </c>
      <c r="F6" s="81" t="s">
        <v>7</v>
      </c>
      <c r="G6" s="86">
        <v>0.55000000000000004</v>
      </c>
      <c r="H6" s="81" t="str">
        <f>IF(YB_3[[#This Row],[Afrondingsdatum]]="N/A","-",YB_3[[#This Row],[Afrondingsdatum]]-YB_3[[#This Row],[StartDatum]])</f>
        <v>-</v>
      </c>
      <c r="I6" s="106" t="str">
        <f>IF(OR(YB_3[[#This Row],[Klas]]="FC2A",YB_3[[#This Row],[Klas]]="FC2C"),"A","B")</f>
        <v>B</v>
      </c>
      <c r="J6" s="117" t="s">
        <v>567</v>
      </c>
    </row>
    <row r="7" spans="1:10" x14ac:dyDescent="0.2">
      <c r="A7" s="76">
        <v>1</v>
      </c>
      <c r="B7" s="77">
        <v>45173</v>
      </c>
      <c r="C7" s="77">
        <v>45257</v>
      </c>
      <c r="D7" s="77" t="s">
        <v>363</v>
      </c>
      <c r="E7" s="35" t="s">
        <v>434</v>
      </c>
      <c r="F7" s="35" t="s">
        <v>7</v>
      </c>
      <c r="G7" s="35" t="s">
        <v>9</v>
      </c>
      <c r="H7" s="35" t="str">
        <f>IF(YB_3[[#This Row],[Afrondingsdatum]]="N/A","-",YB_3[[#This Row],[Afrondingsdatum]]-YB_3[[#This Row],[StartDatum]])</f>
        <v>-</v>
      </c>
      <c r="I7" s="107" t="str">
        <f>IF(OR(YB_3[[#This Row],[Klas]]="FC2A",YB_3[[#This Row],[Klas]]="FC2C"),"A","B")</f>
        <v>B</v>
      </c>
      <c r="J7" s="118" t="s">
        <v>578</v>
      </c>
    </row>
    <row r="8" spans="1:10" x14ac:dyDescent="0.2">
      <c r="A8" s="80">
        <v>1</v>
      </c>
      <c r="B8" s="82">
        <v>45173</v>
      </c>
      <c r="C8" s="82">
        <v>45257</v>
      </c>
      <c r="D8" s="82" t="s">
        <v>362</v>
      </c>
      <c r="E8" s="81" t="s">
        <v>435</v>
      </c>
      <c r="F8" s="85">
        <v>45238</v>
      </c>
      <c r="G8" s="86">
        <v>0.75</v>
      </c>
      <c r="H8" s="81">
        <f>IF(YB_3[[#This Row],[Afrondingsdatum]]="N/A","-",YB_3[[#This Row],[Afrondingsdatum]]-YB_3[[#This Row],[StartDatum]])</f>
        <v>65</v>
      </c>
      <c r="I8" s="106" t="str">
        <f>IF(OR(YB_3[[#This Row],[Klas]]="FC2A",YB_3[[#This Row],[Klas]]="FC2C"),"A","B")</f>
        <v>A</v>
      </c>
      <c r="J8" s="117" t="s">
        <v>571</v>
      </c>
    </row>
    <row r="9" spans="1:10" x14ac:dyDescent="0.2">
      <c r="A9" s="76">
        <v>1</v>
      </c>
      <c r="B9" s="77">
        <v>45173</v>
      </c>
      <c r="C9" s="77">
        <v>45257</v>
      </c>
      <c r="D9" s="77" t="s">
        <v>364</v>
      </c>
      <c r="E9" s="35" t="s">
        <v>436</v>
      </c>
      <c r="F9" s="37">
        <v>45236</v>
      </c>
      <c r="G9" s="36">
        <v>0.85</v>
      </c>
      <c r="H9" s="35">
        <f>IF(YB_3[[#This Row],[Afrondingsdatum]]="N/A","-",YB_3[[#This Row],[Afrondingsdatum]]-YB_3[[#This Row],[StartDatum]])</f>
        <v>63</v>
      </c>
      <c r="I9" s="107" t="str">
        <f>IF(OR(YB_3[[#This Row],[Klas]]="FC2A",YB_3[[#This Row],[Klas]]="FC2C"),"A","B")</f>
        <v>B</v>
      </c>
      <c r="J9" s="118" t="s">
        <v>563</v>
      </c>
    </row>
    <row r="10" spans="1:10" x14ac:dyDescent="0.2">
      <c r="A10" s="80">
        <v>1</v>
      </c>
      <c r="B10" s="82">
        <v>45173</v>
      </c>
      <c r="C10" s="82">
        <v>45257</v>
      </c>
      <c r="D10" s="82" t="s">
        <v>362</v>
      </c>
      <c r="E10" s="81" t="s">
        <v>437</v>
      </c>
      <c r="F10" s="85">
        <v>45240</v>
      </c>
      <c r="G10" s="86">
        <v>0.75</v>
      </c>
      <c r="H10" s="81">
        <f>IF(YB_3[[#This Row],[Afrondingsdatum]]="N/A","-",YB_3[[#This Row],[Afrondingsdatum]]-YB_3[[#This Row],[StartDatum]])</f>
        <v>67</v>
      </c>
      <c r="I10" s="106" t="str">
        <f>IF(OR(YB_3[[#This Row],[Klas]]="FC2A",YB_3[[#This Row],[Klas]]="FC2C"),"A","B")</f>
        <v>A</v>
      </c>
      <c r="J10" s="117" t="s">
        <v>573</v>
      </c>
    </row>
    <row r="11" spans="1:10" x14ac:dyDescent="0.2">
      <c r="A11" s="76">
        <v>1</v>
      </c>
      <c r="B11" s="77">
        <v>45173</v>
      </c>
      <c r="C11" s="77">
        <v>45257</v>
      </c>
      <c r="D11" s="77" t="s">
        <v>364</v>
      </c>
      <c r="E11" s="35" t="s">
        <v>438</v>
      </c>
      <c r="F11" s="37">
        <v>45237</v>
      </c>
      <c r="G11" s="36">
        <v>0.78</v>
      </c>
      <c r="H11" s="35">
        <f>IF(YB_3[[#This Row],[Afrondingsdatum]]="N/A","-",YB_3[[#This Row],[Afrondingsdatum]]-YB_3[[#This Row],[StartDatum]])</f>
        <v>64</v>
      </c>
      <c r="I11" s="107" t="str">
        <f>IF(OR(YB_3[[#This Row],[Klas]]="FC2A",YB_3[[#This Row],[Klas]]="FC2C"),"A","B")</f>
        <v>B</v>
      </c>
      <c r="J11" s="118" t="s">
        <v>563</v>
      </c>
    </row>
    <row r="12" spans="1:10" x14ac:dyDescent="0.2">
      <c r="A12" s="80">
        <v>1</v>
      </c>
      <c r="B12" s="82">
        <v>45173</v>
      </c>
      <c r="C12" s="82">
        <v>45257</v>
      </c>
      <c r="D12" s="82" t="s">
        <v>363</v>
      </c>
      <c r="E12" s="81" t="s">
        <v>439</v>
      </c>
      <c r="F12" s="85">
        <v>45227</v>
      </c>
      <c r="G12" s="86">
        <v>0.73</v>
      </c>
      <c r="H12" s="81">
        <f>IF(YB_3[[#This Row],[Afrondingsdatum]]="N/A","-",YB_3[[#This Row],[Afrondingsdatum]]-YB_3[[#This Row],[StartDatum]])</f>
        <v>54</v>
      </c>
      <c r="I12" s="106" t="str">
        <f>IF(OR(YB_3[[#This Row],[Klas]]="FC2A",YB_3[[#This Row],[Klas]]="FC2C"),"A","B")</f>
        <v>B</v>
      </c>
      <c r="J12" s="117" t="s">
        <v>581</v>
      </c>
    </row>
    <row r="13" spans="1:10" x14ac:dyDescent="0.2">
      <c r="A13" s="76">
        <v>1</v>
      </c>
      <c r="B13" s="77">
        <v>45173</v>
      </c>
      <c r="C13" s="77">
        <v>45257</v>
      </c>
      <c r="D13" s="77" t="s">
        <v>364</v>
      </c>
      <c r="E13" s="35" t="s">
        <v>440</v>
      </c>
      <c r="F13" s="37">
        <v>45212</v>
      </c>
      <c r="G13" s="36">
        <v>0.83</v>
      </c>
      <c r="H13" s="35">
        <f>IF(YB_3[[#This Row],[Afrondingsdatum]]="N/A","-",YB_3[[#This Row],[Afrondingsdatum]]-YB_3[[#This Row],[StartDatum]])</f>
        <v>39</v>
      </c>
      <c r="I13" s="107" t="str">
        <f>IF(OR(YB_3[[#This Row],[Klas]]="FC2A",YB_3[[#This Row],[Klas]]="FC2C"),"A","B")</f>
        <v>B</v>
      </c>
      <c r="J13" s="118" t="s">
        <v>564</v>
      </c>
    </row>
    <row r="14" spans="1:10" x14ac:dyDescent="0.2">
      <c r="A14" s="80">
        <v>1</v>
      </c>
      <c r="B14" s="82">
        <v>45173</v>
      </c>
      <c r="C14" s="82">
        <v>45257</v>
      </c>
      <c r="D14" s="82" t="s">
        <v>364</v>
      </c>
      <c r="E14" s="81" t="s">
        <v>441</v>
      </c>
      <c r="F14" s="85">
        <v>45209</v>
      </c>
      <c r="G14" s="86">
        <v>0.83</v>
      </c>
      <c r="H14" s="81">
        <f>IF(YB_3[[#This Row],[Afrondingsdatum]]="N/A","-",YB_3[[#This Row],[Afrondingsdatum]]-YB_3[[#This Row],[StartDatum]])</f>
        <v>36</v>
      </c>
      <c r="I14" s="106" t="str">
        <f>IF(OR(YB_3[[#This Row],[Klas]]="FC2A",YB_3[[#This Row],[Klas]]="FC2C"),"A","B")</f>
        <v>B</v>
      </c>
      <c r="J14" s="117" t="s">
        <v>564</v>
      </c>
    </row>
    <row r="15" spans="1:10" x14ac:dyDescent="0.2">
      <c r="A15" s="76">
        <v>1</v>
      </c>
      <c r="B15" s="77">
        <v>45173</v>
      </c>
      <c r="C15" s="77">
        <v>45257</v>
      </c>
      <c r="D15" s="77" t="s">
        <v>364</v>
      </c>
      <c r="E15" s="35" t="s">
        <v>442</v>
      </c>
      <c r="F15" s="37">
        <v>45237</v>
      </c>
      <c r="G15" s="36">
        <v>0.73</v>
      </c>
      <c r="H15" s="35">
        <f>IF(YB_3[[#This Row],[Afrondingsdatum]]="N/A","-",YB_3[[#This Row],[Afrondingsdatum]]-YB_3[[#This Row],[StartDatum]])</f>
        <v>64</v>
      </c>
      <c r="I15" s="107" t="str">
        <f>IF(OR(YB_3[[#This Row],[Klas]]="FC2A",YB_3[[#This Row],[Klas]]="FC2C"),"A","B")</f>
        <v>B</v>
      </c>
      <c r="J15" s="118" t="s">
        <v>567</v>
      </c>
    </row>
    <row r="16" spans="1:10" x14ac:dyDescent="0.2">
      <c r="A16" s="80">
        <v>1</v>
      </c>
      <c r="B16" s="82">
        <v>45173</v>
      </c>
      <c r="C16" s="82">
        <v>45257</v>
      </c>
      <c r="D16" s="82" t="s">
        <v>363</v>
      </c>
      <c r="E16" s="81" t="s">
        <v>443</v>
      </c>
      <c r="F16" s="85">
        <v>45225</v>
      </c>
      <c r="G16" s="86">
        <v>0.7</v>
      </c>
      <c r="H16" s="81">
        <f>IF(YB_3[[#This Row],[Afrondingsdatum]]="N/A","-",YB_3[[#This Row],[Afrondingsdatum]]-YB_3[[#This Row],[StartDatum]])</f>
        <v>52</v>
      </c>
      <c r="I16" s="106" t="str">
        <f>IF(OR(YB_3[[#This Row],[Klas]]="FC2A",YB_3[[#This Row],[Klas]]="FC2C"),"A","B")</f>
        <v>B</v>
      </c>
      <c r="J16" s="117" t="s">
        <v>581</v>
      </c>
    </row>
    <row r="17" spans="1:10" x14ac:dyDescent="0.2">
      <c r="A17" s="76">
        <v>1</v>
      </c>
      <c r="B17" s="77">
        <v>45173</v>
      </c>
      <c r="C17" s="77">
        <v>45257</v>
      </c>
      <c r="D17" s="77" t="s">
        <v>363</v>
      </c>
      <c r="E17" s="35" t="s">
        <v>444</v>
      </c>
      <c r="F17" s="35" t="s">
        <v>7</v>
      </c>
      <c r="G17" s="35" t="s">
        <v>9</v>
      </c>
      <c r="H17" s="35" t="str">
        <f>IF(YB_3[[#This Row],[Afrondingsdatum]]="N/A","-",YB_3[[#This Row],[Afrondingsdatum]]-YB_3[[#This Row],[StartDatum]])</f>
        <v>-</v>
      </c>
      <c r="I17" s="107" t="str">
        <f>IF(OR(YB_3[[#This Row],[Klas]]="FC2A",YB_3[[#This Row],[Klas]]="FC2C"),"A","B")</f>
        <v>B</v>
      </c>
      <c r="J17" s="118" t="s">
        <v>581</v>
      </c>
    </row>
    <row r="18" spans="1:10" x14ac:dyDescent="0.2">
      <c r="A18" s="80">
        <v>1</v>
      </c>
      <c r="B18" s="82">
        <v>45173</v>
      </c>
      <c r="C18" s="82">
        <v>45257</v>
      </c>
      <c r="D18" s="82" t="s">
        <v>363</v>
      </c>
      <c r="E18" s="81" t="s">
        <v>445</v>
      </c>
      <c r="F18" s="85">
        <v>45225</v>
      </c>
      <c r="G18" s="86">
        <v>0.73</v>
      </c>
      <c r="H18" s="81">
        <f>IF(YB_3[[#This Row],[Afrondingsdatum]]="N/A","-",YB_3[[#This Row],[Afrondingsdatum]]-YB_3[[#This Row],[StartDatum]])</f>
        <v>52</v>
      </c>
      <c r="I18" s="106" t="str">
        <f>IF(OR(YB_3[[#This Row],[Klas]]="FC2A",YB_3[[#This Row],[Klas]]="FC2C"),"A","B")</f>
        <v>B</v>
      </c>
      <c r="J18" s="117" t="s">
        <v>579</v>
      </c>
    </row>
    <row r="19" spans="1:10" x14ac:dyDescent="0.2">
      <c r="A19" s="76">
        <v>1</v>
      </c>
      <c r="B19" s="77">
        <v>45173</v>
      </c>
      <c r="C19" s="77">
        <v>45257</v>
      </c>
      <c r="D19" s="77" t="s">
        <v>362</v>
      </c>
      <c r="E19" s="35" t="s">
        <v>446</v>
      </c>
      <c r="F19" s="35" t="s">
        <v>7</v>
      </c>
      <c r="G19" s="35" t="s">
        <v>9</v>
      </c>
      <c r="H19" s="35" t="str">
        <f>IF(YB_3[[#This Row],[Afrondingsdatum]]="N/A","-",YB_3[[#This Row],[Afrondingsdatum]]-YB_3[[#This Row],[StartDatum]])</f>
        <v>-</v>
      </c>
      <c r="I19" s="107" t="str">
        <f>IF(OR(YB_3[[#This Row],[Klas]]="FC2A",YB_3[[#This Row],[Klas]]="FC2C"),"A","B")</f>
        <v>A</v>
      </c>
      <c r="J19" s="118" t="s">
        <v>573</v>
      </c>
    </row>
    <row r="20" spans="1:10" x14ac:dyDescent="0.2">
      <c r="A20" s="80">
        <v>1</v>
      </c>
      <c r="B20" s="82">
        <v>45173</v>
      </c>
      <c r="C20" s="82">
        <v>45257</v>
      </c>
      <c r="D20" s="82" t="s">
        <v>362</v>
      </c>
      <c r="E20" s="81" t="s">
        <v>447</v>
      </c>
      <c r="F20" s="85">
        <v>45231</v>
      </c>
      <c r="G20" s="86">
        <v>0.73</v>
      </c>
      <c r="H20" s="81">
        <f>IF(YB_3[[#This Row],[Afrondingsdatum]]="N/A","-",YB_3[[#This Row],[Afrondingsdatum]]-YB_3[[#This Row],[StartDatum]])</f>
        <v>58</v>
      </c>
      <c r="I20" s="106" t="str">
        <f>IF(OR(YB_3[[#This Row],[Klas]]="FC2A",YB_3[[#This Row],[Klas]]="FC2C"),"A","B")</f>
        <v>A</v>
      </c>
      <c r="J20" s="117" t="s">
        <v>575</v>
      </c>
    </row>
    <row r="21" spans="1:10" x14ac:dyDescent="0.2">
      <c r="A21" s="76">
        <v>1</v>
      </c>
      <c r="B21" s="77">
        <v>45173</v>
      </c>
      <c r="C21" s="77">
        <v>45257</v>
      </c>
      <c r="D21" s="77" t="s">
        <v>363</v>
      </c>
      <c r="E21" s="35" t="s">
        <v>448</v>
      </c>
      <c r="F21" s="37">
        <v>45230</v>
      </c>
      <c r="G21" s="36">
        <v>0.83</v>
      </c>
      <c r="H21" s="35">
        <f>IF(YB_3[[#This Row],[Afrondingsdatum]]="N/A","-",YB_3[[#This Row],[Afrondingsdatum]]-YB_3[[#This Row],[StartDatum]])</f>
        <v>57</v>
      </c>
      <c r="I21" s="107" t="str">
        <f>IF(OR(YB_3[[#This Row],[Klas]]="FC2A",YB_3[[#This Row],[Klas]]="FC2C"),"A","B")</f>
        <v>B</v>
      </c>
      <c r="J21" s="118" t="s">
        <v>580</v>
      </c>
    </row>
    <row r="22" spans="1:10" x14ac:dyDescent="0.2">
      <c r="A22" s="80">
        <v>1</v>
      </c>
      <c r="B22" s="82">
        <v>45173</v>
      </c>
      <c r="C22" s="82">
        <v>45257</v>
      </c>
      <c r="D22" s="82" t="s">
        <v>364</v>
      </c>
      <c r="E22" s="81" t="s">
        <v>449</v>
      </c>
      <c r="F22" s="85">
        <v>45253</v>
      </c>
      <c r="G22" s="86">
        <v>0.75</v>
      </c>
      <c r="H22" s="81">
        <f>IF(YB_3[[#This Row],[Afrondingsdatum]]="N/A","-",YB_3[[#This Row],[Afrondingsdatum]]-YB_3[[#This Row],[StartDatum]])</f>
        <v>80</v>
      </c>
      <c r="I22" s="106" t="str">
        <f>IF(OR(YB_3[[#This Row],[Klas]]="FC2A",YB_3[[#This Row],[Klas]]="FC2C"),"A","B")</f>
        <v>B</v>
      </c>
      <c r="J22" s="117" t="s">
        <v>565</v>
      </c>
    </row>
    <row r="23" spans="1:10" x14ac:dyDescent="0.2">
      <c r="A23" s="76">
        <v>1</v>
      </c>
      <c r="B23" s="77">
        <v>45173</v>
      </c>
      <c r="C23" s="77">
        <v>45257</v>
      </c>
      <c r="D23" s="77" t="s">
        <v>364</v>
      </c>
      <c r="E23" s="35" t="s">
        <v>450</v>
      </c>
      <c r="F23" s="37">
        <v>45233</v>
      </c>
      <c r="G23" s="36">
        <v>0.93</v>
      </c>
      <c r="H23" s="35">
        <f>IF(YB_3[[#This Row],[Afrondingsdatum]]="N/A","-",YB_3[[#This Row],[Afrondingsdatum]]-YB_3[[#This Row],[StartDatum]])</f>
        <v>60</v>
      </c>
      <c r="I23" s="107" t="str">
        <f>IF(OR(YB_3[[#This Row],[Klas]]="FC2A",YB_3[[#This Row],[Klas]]="FC2C"),"A","B")</f>
        <v>B</v>
      </c>
      <c r="J23" s="118" t="s">
        <v>562</v>
      </c>
    </row>
    <row r="24" spans="1:10" x14ac:dyDescent="0.2">
      <c r="A24" s="80">
        <v>1</v>
      </c>
      <c r="B24" s="82">
        <v>45173</v>
      </c>
      <c r="C24" s="82">
        <v>45257</v>
      </c>
      <c r="D24" s="82" t="s">
        <v>363</v>
      </c>
      <c r="E24" s="81" t="s">
        <v>451</v>
      </c>
      <c r="F24" s="85">
        <v>45210</v>
      </c>
      <c r="G24" s="86">
        <v>0.85</v>
      </c>
      <c r="H24" s="81">
        <f>IF(YB_3[[#This Row],[Afrondingsdatum]]="N/A","-",YB_3[[#This Row],[Afrondingsdatum]]-YB_3[[#This Row],[StartDatum]])</f>
        <v>37</v>
      </c>
      <c r="I24" s="106" t="str">
        <f>IF(OR(YB_3[[#This Row],[Klas]]="FC2A",YB_3[[#This Row],[Klas]]="FC2C"),"A","B")</f>
        <v>B</v>
      </c>
      <c r="J24" s="117" t="s">
        <v>577</v>
      </c>
    </row>
    <row r="25" spans="1:10" x14ac:dyDescent="0.2">
      <c r="A25" s="76">
        <v>1</v>
      </c>
      <c r="B25" s="77">
        <v>45173</v>
      </c>
      <c r="C25" s="77">
        <v>45257</v>
      </c>
      <c r="D25" s="77" t="s">
        <v>363</v>
      </c>
      <c r="E25" s="35" t="s">
        <v>452</v>
      </c>
      <c r="F25" s="37">
        <v>45226</v>
      </c>
      <c r="G25" s="36">
        <v>0.75</v>
      </c>
      <c r="H25" s="35">
        <f>IF(YB_3[[#This Row],[Afrondingsdatum]]="N/A","-",YB_3[[#This Row],[Afrondingsdatum]]-YB_3[[#This Row],[StartDatum]])</f>
        <v>53</v>
      </c>
      <c r="I25" s="107" t="str">
        <f>IF(OR(YB_3[[#This Row],[Klas]]="FC2A",YB_3[[#This Row],[Klas]]="FC2C"),"A","B")</f>
        <v>B</v>
      </c>
      <c r="J25" s="118" t="s">
        <v>576</v>
      </c>
    </row>
    <row r="26" spans="1:10" x14ac:dyDescent="0.2">
      <c r="A26" s="80">
        <v>1</v>
      </c>
      <c r="B26" s="82">
        <v>45173</v>
      </c>
      <c r="C26" s="82">
        <v>45257</v>
      </c>
      <c r="D26" s="82" t="s">
        <v>364</v>
      </c>
      <c r="E26" s="81" t="s">
        <v>453</v>
      </c>
      <c r="F26" s="85">
        <v>45230</v>
      </c>
      <c r="G26" s="86">
        <v>0.85</v>
      </c>
      <c r="H26" s="81">
        <f>IF(YB_3[[#This Row],[Afrondingsdatum]]="N/A","-",YB_3[[#This Row],[Afrondingsdatum]]-YB_3[[#This Row],[StartDatum]])</f>
        <v>57</v>
      </c>
      <c r="I26" s="106" t="str">
        <f>IF(OR(YB_3[[#This Row],[Klas]]="FC2A",YB_3[[#This Row],[Klas]]="FC2C"),"A","B")</f>
        <v>B</v>
      </c>
      <c r="J26" s="117" t="s">
        <v>568</v>
      </c>
    </row>
    <row r="27" spans="1:10" x14ac:dyDescent="0.2">
      <c r="A27" s="76">
        <v>1</v>
      </c>
      <c r="B27" s="77">
        <v>45173</v>
      </c>
      <c r="C27" s="77">
        <v>45257</v>
      </c>
      <c r="D27" s="77" t="s">
        <v>364</v>
      </c>
      <c r="E27" s="35" t="s">
        <v>454</v>
      </c>
      <c r="F27" s="35" t="s">
        <v>7</v>
      </c>
      <c r="G27" s="35" t="s">
        <v>9</v>
      </c>
      <c r="H27" s="35" t="str">
        <f>IF(YB_3[[#This Row],[Afrondingsdatum]]="N/A","-",YB_3[[#This Row],[Afrondingsdatum]]-YB_3[[#This Row],[StartDatum]])</f>
        <v>-</v>
      </c>
      <c r="I27" s="107" t="str">
        <f>IF(OR(YB_3[[#This Row],[Klas]]="FC2A",YB_3[[#This Row],[Klas]]="FC2C"),"A","B")</f>
        <v>B</v>
      </c>
      <c r="J27" s="118" t="s">
        <v>565</v>
      </c>
    </row>
    <row r="28" spans="1:10" x14ac:dyDescent="0.2">
      <c r="A28" s="80">
        <v>1</v>
      </c>
      <c r="B28" s="82">
        <v>45173</v>
      </c>
      <c r="C28" s="82">
        <v>45257</v>
      </c>
      <c r="D28" s="82" t="s">
        <v>363</v>
      </c>
      <c r="E28" s="81" t="s">
        <v>455</v>
      </c>
      <c r="F28" s="85">
        <v>45209</v>
      </c>
      <c r="G28" s="86">
        <v>0.78</v>
      </c>
      <c r="H28" s="81">
        <f>IF(YB_3[[#This Row],[Afrondingsdatum]]="N/A","-",YB_3[[#This Row],[Afrondingsdatum]]-YB_3[[#This Row],[StartDatum]])</f>
        <v>36</v>
      </c>
      <c r="I28" s="106" t="str">
        <f>IF(OR(YB_3[[#This Row],[Klas]]="FC2A",YB_3[[#This Row],[Klas]]="FC2C"),"A","B")</f>
        <v>B</v>
      </c>
      <c r="J28" s="117" t="s">
        <v>580</v>
      </c>
    </row>
    <row r="29" spans="1:10" x14ac:dyDescent="0.2">
      <c r="A29" s="76">
        <v>1</v>
      </c>
      <c r="B29" s="77">
        <v>45173</v>
      </c>
      <c r="C29" s="77">
        <v>45257</v>
      </c>
      <c r="D29" s="77" t="s">
        <v>362</v>
      </c>
      <c r="E29" s="35" t="s">
        <v>456</v>
      </c>
      <c r="F29" s="35" t="s">
        <v>7</v>
      </c>
      <c r="G29" s="35" t="s">
        <v>9</v>
      </c>
      <c r="H29" s="35" t="str">
        <f>IF(YB_3[[#This Row],[Afrondingsdatum]]="N/A","-",YB_3[[#This Row],[Afrondingsdatum]]-YB_3[[#This Row],[StartDatum]])</f>
        <v>-</v>
      </c>
      <c r="I29" s="107" t="str">
        <f>IF(OR(YB_3[[#This Row],[Klas]]="FC2A",YB_3[[#This Row],[Klas]]="FC2C"),"A","B")</f>
        <v>A</v>
      </c>
      <c r="J29" s="118" t="s">
        <v>575</v>
      </c>
    </row>
    <row r="30" spans="1:10" x14ac:dyDescent="0.2">
      <c r="A30" s="80">
        <v>1</v>
      </c>
      <c r="B30" s="82">
        <v>45173</v>
      </c>
      <c r="C30" s="82">
        <v>45257</v>
      </c>
      <c r="D30" s="82" t="s">
        <v>362</v>
      </c>
      <c r="E30" s="81" t="s">
        <v>457</v>
      </c>
      <c r="F30" s="85">
        <v>45238</v>
      </c>
      <c r="G30" s="86">
        <v>0.93</v>
      </c>
      <c r="H30" s="81">
        <f>IF(YB_3[[#This Row],[Afrondingsdatum]]="N/A","-",YB_3[[#This Row],[Afrondingsdatum]]-YB_3[[#This Row],[StartDatum]])</f>
        <v>65</v>
      </c>
      <c r="I30" s="106" t="str">
        <f>IF(OR(YB_3[[#This Row],[Klas]]="FC2A",YB_3[[#This Row],[Klas]]="FC2C"),"A","B")</f>
        <v>A</v>
      </c>
      <c r="J30" s="117" t="s">
        <v>572</v>
      </c>
    </row>
    <row r="31" spans="1:10" x14ac:dyDescent="0.2">
      <c r="A31" s="76">
        <v>1</v>
      </c>
      <c r="B31" s="77">
        <v>45173</v>
      </c>
      <c r="C31" s="77">
        <v>45257</v>
      </c>
      <c r="D31" s="77" t="s">
        <v>362</v>
      </c>
      <c r="E31" s="35" t="s">
        <v>458</v>
      </c>
      <c r="F31" s="37">
        <v>45238</v>
      </c>
      <c r="G31" s="36">
        <v>0.85</v>
      </c>
      <c r="H31" s="35">
        <f>IF(YB_3[[#This Row],[Afrondingsdatum]]="N/A","-",YB_3[[#This Row],[Afrondingsdatum]]-YB_3[[#This Row],[StartDatum]])</f>
        <v>65</v>
      </c>
      <c r="I31" s="107" t="str">
        <f>IF(OR(YB_3[[#This Row],[Klas]]="FC2A",YB_3[[#This Row],[Klas]]="FC2C"),"A","B")</f>
        <v>A</v>
      </c>
      <c r="J31" s="118" t="s">
        <v>574</v>
      </c>
    </row>
    <row r="32" spans="1:10" x14ac:dyDescent="0.2">
      <c r="A32" s="80">
        <v>1</v>
      </c>
      <c r="B32" s="82">
        <v>45173</v>
      </c>
      <c r="C32" s="82">
        <v>45257</v>
      </c>
      <c r="D32" s="82" t="s">
        <v>362</v>
      </c>
      <c r="E32" s="81" t="s">
        <v>459</v>
      </c>
      <c r="F32" s="85">
        <v>45238</v>
      </c>
      <c r="G32" s="86">
        <v>0.9</v>
      </c>
      <c r="H32" s="81">
        <f>IF(YB_3[[#This Row],[Afrondingsdatum]]="N/A","-",YB_3[[#This Row],[Afrondingsdatum]]-YB_3[[#This Row],[StartDatum]])</f>
        <v>65</v>
      </c>
      <c r="I32" s="106" t="str">
        <f>IF(OR(YB_3[[#This Row],[Klas]]="FC2A",YB_3[[#This Row],[Klas]]="FC2C"),"A","B")</f>
        <v>A</v>
      </c>
      <c r="J32" s="117" t="s">
        <v>575</v>
      </c>
    </row>
    <row r="33" spans="1:10" x14ac:dyDescent="0.2">
      <c r="A33" s="76">
        <v>1</v>
      </c>
      <c r="B33" s="77">
        <v>45173</v>
      </c>
      <c r="C33" s="77">
        <v>45257</v>
      </c>
      <c r="D33" s="77" t="s">
        <v>364</v>
      </c>
      <c r="E33" s="35" t="s">
        <v>460</v>
      </c>
      <c r="F33" s="37">
        <v>45236</v>
      </c>
      <c r="G33" s="36">
        <v>0.8</v>
      </c>
      <c r="H33" s="35">
        <f>IF(YB_3[[#This Row],[Afrondingsdatum]]="N/A","-",YB_3[[#This Row],[Afrondingsdatum]]-YB_3[[#This Row],[StartDatum]])</f>
        <v>63</v>
      </c>
      <c r="I33" s="107" t="str">
        <f>IF(OR(YB_3[[#This Row],[Klas]]="FC2A",YB_3[[#This Row],[Klas]]="FC2C"),"A","B")</f>
        <v>B</v>
      </c>
      <c r="J33" s="118" t="s">
        <v>568</v>
      </c>
    </row>
    <row r="34" spans="1:10" x14ac:dyDescent="0.2">
      <c r="A34" s="80">
        <v>1</v>
      </c>
      <c r="B34" s="82">
        <v>45173</v>
      </c>
      <c r="C34" s="82">
        <v>45257</v>
      </c>
      <c r="D34" s="82" t="s">
        <v>363</v>
      </c>
      <c r="E34" s="81" t="s">
        <v>461</v>
      </c>
      <c r="F34" s="85">
        <v>45228</v>
      </c>
      <c r="G34" s="86">
        <v>0.8</v>
      </c>
      <c r="H34" s="81">
        <f>IF(YB_3[[#This Row],[Afrondingsdatum]]="N/A","-",YB_3[[#This Row],[Afrondingsdatum]]-YB_3[[#This Row],[StartDatum]])</f>
        <v>55</v>
      </c>
      <c r="I34" s="106" t="str">
        <f>IF(OR(YB_3[[#This Row],[Klas]]="FC2A",YB_3[[#This Row],[Klas]]="FC2C"),"A","B")</f>
        <v>B</v>
      </c>
      <c r="J34" s="117" t="s">
        <v>578</v>
      </c>
    </row>
    <row r="35" spans="1:10" x14ac:dyDescent="0.2">
      <c r="A35" s="76">
        <v>1</v>
      </c>
      <c r="B35" s="77">
        <v>45173</v>
      </c>
      <c r="C35" s="77">
        <v>45257</v>
      </c>
      <c r="D35" s="77" t="s">
        <v>363</v>
      </c>
      <c r="E35" s="35" t="s">
        <v>462</v>
      </c>
      <c r="F35" s="37">
        <v>45223</v>
      </c>
      <c r="G35" s="36">
        <v>0.8</v>
      </c>
      <c r="H35" s="35">
        <f>IF(YB_3[[#This Row],[Afrondingsdatum]]="N/A","-",YB_3[[#This Row],[Afrondingsdatum]]-YB_3[[#This Row],[StartDatum]])</f>
        <v>50</v>
      </c>
      <c r="I35" s="107" t="str">
        <f>IF(OR(YB_3[[#This Row],[Klas]]="FC2A",YB_3[[#This Row],[Klas]]="FC2C"),"A","B")</f>
        <v>B</v>
      </c>
      <c r="J35" s="118" t="s">
        <v>579</v>
      </c>
    </row>
    <row r="36" spans="1:10" x14ac:dyDescent="0.2">
      <c r="A36" s="80">
        <v>1</v>
      </c>
      <c r="B36" s="82">
        <v>45173</v>
      </c>
      <c r="C36" s="82">
        <v>45257</v>
      </c>
      <c r="D36" s="82" t="s">
        <v>362</v>
      </c>
      <c r="E36" s="81" t="s">
        <v>463</v>
      </c>
      <c r="F36" s="85">
        <v>45239</v>
      </c>
      <c r="G36" s="86">
        <v>0.73</v>
      </c>
      <c r="H36" s="81">
        <f>IF(YB_3[[#This Row],[Afrondingsdatum]]="N/A","-",YB_3[[#This Row],[Afrondingsdatum]]-YB_3[[#This Row],[StartDatum]])</f>
        <v>66</v>
      </c>
      <c r="I36" s="106" t="str">
        <f>IF(OR(YB_3[[#This Row],[Klas]]="FC2A",YB_3[[#This Row],[Klas]]="FC2C"),"A","B")</f>
        <v>A</v>
      </c>
      <c r="J36" s="117" t="s">
        <v>572</v>
      </c>
    </row>
    <row r="37" spans="1:10" x14ac:dyDescent="0.2">
      <c r="A37" s="76">
        <v>1</v>
      </c>
      <c r="B37" s="77">
        <v>45173</v>
      </c>
      <c r="C37" s="77">
        <v>45257</v>
      </c>
      <c r="D37" s="77" t="s">
        <v>362</v>
      </c>
      <c r="E37" s="35" t="s">
        <v>464</v>
      </c>
      <c r="F37" s="37">
        <v>45226</v>
      </c>
      <c r="G37" s="36">
        <v>0.75</v>
      </c>
      <c r="H37" s="35">
        <f>IF(YB_3[[#This Row],[Afrondingsdatum]]="N/A","-",YB_3[[#This Row],[Afrondingsdatum]]-YB_3[[#This Row],[StartDatum]])</f>
        <v>53</v>
      </c>
      <c r="I37" s="107" t="str">
        <f>IF(OR(YB_3[[#This Row],[Klas]]="FC2A",YB_3[[#This Row],[Klas]]="FC2C"),"A","B")</f>
        <v>A</v>
      </c>
      <c r="J37" s="118" t="s">
        <v>571</v>
      </c>
    </row>
    <row r="38" spans="1:10" x14ac:dyDescent="0.2">
      <c r="A38" s="80">
        <v>1</v>
      </c>
      <c r="B38" s="82">
        <v>45173</v>
      </c>
      <c r="C38" s="82">
        <v>45257</v>
      </c>
      <c r="D38" s="82" t="s">
        <v>363</v>
      </c>
      <c r="E38" s="81" t="s">
        <v>465</v>
      </c>
      <c r="F38" s="85">
        <v>45225</v>
      </c>
      <c r="G38" s="86">
        <v>0.85</v>
      </c>
      <c r="H38" s="81">
        <f>IF(YB_3[[#This Row],[Afrondingsdatum]]="N/A","-",YB_3[[#This Row],[Afrondingsdatum]]-YB_3[[#This Row],[StartDatum]])</f>
        <v>52</v>
      </c>
      <c r="I38" s="106" t="str">
        <f>IF(OR(YB_3[[#This Row],[Klas]]="FC2A",YB_3[[#This Row],[Klas]]="FC2C"),"A","B")</f>
        <v>B</v>
      </c>
      <c r="J38" s="117" t="s">
        <v>576</v>
      </c>
    </row>
    <row r="39" spans="1:10" x14ac:dyDescent="0.2">
      <c r="A39" s="76">
        <v>1</v>
      </c>
      <c r="B39" s="77">
        <v>45173</v>
      </c>
      <c r="C39" s="77">
        <v>45257</v>
      </c>
      <c r="D39" s="77" t="s">
        <v>363</v>
      </c>
      <c r="E39" s="35" t="s">
        <v>466</v>
      </c>
      <c r="F39" s="37">
        <v>45218</v>
      </c>
      <c r="G39" s="36">
        <v>0.83</v>
      </c>
      <c r="H39" s="35">
        <f>IF(YB_3[[#This Row],[Afrondingsdatum]]="N/A","-",YB_3[[#This Row],[Afrondingsdatum]]-YB_3[[#This Row],[StartDatum]])</f>
        <v>45</v>
      </c>
      <c r="I39" s="107" t="str">
        <f>IF(OR(YB_3[[#This Row],[Klas]]="FC2A",YB_3[[#This Row],[Klas]]="FC2C"),"A","B")</f>
        <v>B</v>
      </c>
      <c r="J39" s="118" t="s">
        <v>579</v>
      </c>
    </row>
    <row r="40" spans="1:10" x14ac:dyDescent="0.2">
      <c r="A40" s="80">
        <v>1</v>
      </c>
      <c r="B40" s="82">
        <v>45173</v>
      </c>
      <c r="C40" s="82">
        <v>45257</v>
      </c>
      <c r="D40" s="82" t="s">
        <v>362</v>
      </c>
      <c r="E40" s="81" t="s">
        <v>467</v>
      </c>
      <c r="F40" s="85">
        <v>45214</v>
      </c>
      <c r="G40" s="86">
        <v>0.7</v>
      </c>
      <c r="H40" s="81">
        <f>IF(YB_3[[#This Row],[Afrondingsdatum]]="N/A","-",YB_3[[#This Row],[Afrondingsdatum]]-YB_3[[#This Row],[StartDatum]])</f>
        <v>41</v>
      </c>
      <c r="I40" s="106" t="str">
        <f>IF(OR(YB_3[[#This Row],[Klas]]="FC2A",YB_3[[#This Row],[Klas]]="FC2C"),"A","B")</f>
        <v>A</v>
      </c>
      <c r="J40" s="117" t="s">
        <v>573</v>
      </c>
    </row>
    <row r="41" spans="1:10" x14ac:dyDescent="0.2">
      <c r="A41" s="76">
        <v>1</v>
      </c>
      <c r="B41" s="77">
        <v>45173</v>
      </c>
      <c r="C41" s="77">
        <v>45257</v>
      </c>
      <c r="D41" s="77" t="s">
        <v>363</v>
      </c>
      <c r="E41" s="35" t="s">
        <v>468</v>
      </c>
      <c r="F41" s="37">
        <v>45227</v>
      </c>
      <c r="G41" s="36">
        <v>0.7</v>
      </c>
      <c r="H41" s="35">
        <f>IF(YB_3[[#This Row],[Afrondingsdatum]]="N/A","-",YB_3[[#This Row],[Afrondingsdatum]]-YB_3[[#This Row],[StartDatum]])</f>
        <v>54</v>
      </c>
      <c r="I41" s="107" t="str">
        <f>IF(OR(YB_3[[#This Row],[Klas]]="FC2A",YB_3[[#This Row],[Klas]]="FC2C"),"A","B")</f>
        <v>B</v>
      </c>
      <c r="J41" s="118" t="s">
        <v>581</v>
      </c>
    </row>
    <row r="42" spans="1:10" x14ac:dyDescent="0.2">
      <c r="A42" s="80">
        <v>1</v>
      </c>
      <c r="B42" s="82">
        <v>45173</v>
      </c>
      <c r="C42" s="82">
        <v>45257</v>
      </c>
      <c r="D42" s="82" t="s">
        <v>363</v>
      </c>
      <c r="E42" s="81" t="s">
        <v>469</v>
      </c>
      <c r="F42" s="81" t="s">
        <v>7</v>
      </c>
      <c r="G42" s="81" t="s">
        <v>9</v>
      </c>
      <c r="H42" s="81" t="str">
        <f>IF(YB_3[[#This Row],[Afrondingsdatum]]="N/A","-",YB_3[[#This Row],[Afrondingsdatum]]-YB_3[[#This Row],[StartDatum]])</f>
        <v>-</v>
      </c>
      <c r="I42" s="106" t="str">
        <f>IF(OR(YB_3[[#This Row],[Klas]]="FC2A",YB_3[[#This Row],[Klas]]="FC2C"),"A","B")</f>
        <v>B</v>
      </c>
      <c r="J42" s="117" t="s">
        <v>578</v>
      </c>
    </row>
    <row r="43" spans="1:10" x14ac:dyDescent="0.2">
      <c r="A43" s="76">
        <v>1</v>
      </c>
      <c r="B43" s="77">
        <v>45173</v>
      </c>
      <c r="C43" s="77">
        <v>45257</v>
      </c>
      <c r="D43" s="77" t="s">
        <v>364</v>
      </c>
      <c r="E43" s="35" t="s">
        <v>470</v>
      </c>
      <c r="F43" s="37">
        <v>45217</v>
      </c>
      <c r="G43" s="36">
        <v>0.73</v>
      </c>
      <c r="H43" s="35">
        <f>IF(YB_3[[#This Row],[Afrondingsdatum]]="N/A","-",YB_3[[#This Row],[Afrondingsdatum]]-YB_3[[#This Row],[StartDatum]])</f>
        <v>44</v>
      </c>
      <c r="I43" s="107" t="str">
        <f>IF(OR(YB_3[[#This Row],[Klas]]="FC2A",YB_3[[#This Row],[Klas]]="FC2C"),"A","B")</f>
        <v>B</v>
      </c>
      <c r="J43" s="118" t="s">
        <v>566</v>
      </c>
    </row>
    <row r="44" spans="1:10" x14ac:dyDescent="0.2">
      <c r="A44" s="80">
        <v>1</v>
      </c>
      <c r="B44" s="82">
        <v>45173</v>
      </c>
      <c r="C44" s="82">
        <v>45257</v>
      </c>
      <c r="D44" s="82" t="s">
        <v>363</v>
      </c>
      <c r="E44" s="81" t="s">
        <v>471</v>
      </c>
      <c r="F44" s="85">
        <v>45228</v>
      </c>
      <c r="G44" s="86">
        <v>0.7</v>
      </c>
      <c r="H44" s="81">
        <f>IF(YB_3[[#This Row],[Afrondingsdatum]]="N/A","-",YB_3[[#This Row],[Afrondingsdatum]]-YB_3[[#This Row],[StartDatum]])</f>
        <v>55</v>
      </c>
      <c r="I44" s="106" t="str">
        <f>IF(OR(YB_3[[#This Row],[Klas]]="FC2A",YB_3[[#This Row],[Klas]]="FC2C"),"A","B")</f>
        <v>B</v>
      </c>
      <c r="J44" s="117" t="s">
        <v>579</v>
      </c>
    </row>
    <row r="45" spans="1:10" x14ac:dyDescent="0.2">
      <c r="A45" s="76">
        <v>1</v>
      </c>
      <c r="B45" s="77">
        <v>45173</v>
      </c>
      <c r="C45" s="77">
        <v>45257</v>
      </c>
      <c r="D45" s="77" t="s">
        <v>364</v>
      </c>
      <c r="E45" s="35" t="s">
        <v>472</v>
      </c>
      <c r="F45" s="37">
        <v>45238</v>
      </c>
      <c r="G45" s="36">
        <v>0.85</v>
      </c>
      <c r="H45" s="35">
        <f>IF(YB_3[[#This Row],[Afrondingsdatum]]="N/A","-",YB_3[[#This Row],[Afrondingsdatum]]-YB_3[[#This Row],[StartDatum]])</f>
        <v>65</v>
      </c>
      <c r="I45" s="107" t="str">
        <f>IF(OR(YB_3[[#This Row],[Klas]]="FC2A",YB_3[[#This Row],[Klas]]="FC2C"),"A","B")</f>
        <v>B</v>
      </c>
      <c r="J45" s="118" t="s">
        <v>562</v>
      </c>
    </row>
    <row r="46" spans="1:10" x14ac:dyDescent="0.2">
      <c r="A46" s="80">
        <v>1</v>
      </c>
      <c r="B46" s="82">
        <v>45173</v>
      </c>
      <c r="C46" s="82">
        <v>45257</v>
      </c>
      <c r="D46" s="82" t="s">
        <v>364</v>
      </c>
      <c r="E46" s="81" t="s">
        <v>473</v>
      </c>
      <c r="F46" s="85">
        <v>45217</v>
      </c>
      <c r="G46" s="86">
        <v>0.85</v>
      </c>
      <c r="H46" s="81">
        <f>IF(YB_3[[#This Row],[Afrondingsdatum]]="N/A","-",YB_3[[#This Row],[Afrondingsdatum]]-YB_3[[#This Row],[StartDatum]])</f>
        <v>44</v>
      </c>
      <c r="I46" s="106" t="str">
        <f>IF(OR(YB_3[[#This Row],[Klas]]="FC2A",YB_3[[#This Row],[Klas]]="FC2C"),"A","B")</f>
        <v>B</v>
      </c>
      <c r="J46" s="117" t="s">
        <v>565</v>
      </c>
    </row>
    <row r="47" spans="1:10" x14ac:dyDescent="0.2">
      <c r="A47" s="76">
        <v>1</v>
      </c>
      <c r="B47" s="77">
        <v>45173</v>
      </c>
      <c r="C47" s="77">
        <v>45257</v>
      </c>
      <c r="D47" s="77" t="s">
        <v>362</v>
      </c>
      <c r="E47" s="35" t="s">
        <v>474</v>
      </c>
      <c r="F47" s="35" t="s">
        <v>7</v>
      </c>
      <c r="G47" s="35" t="s">
        <v>9</v>
      </c>
      <c r="H47" s="35" t="str">
        <f>IF(YB_3[[#This Row],[Afrondingsdatum]]="N/A","-",YB_3[[#This Row],[Afrondingsdatum]]-YB_3[[#This Row],[StartDatum]])</f>
        <v>-</v>
      </c>
      <c r="I47" s="107" t="str">
        <f>IF(OR(YB_3[[#This Row],[Klas]]="FC2A",YB_3[[#This Row],[Klas]]="FC2C"),"A","B")</f>
        <v>A</v>
      </c>
      <c r="J47" s="118" t="s">
        <v>573</v>
      </c>
    </row>
    <row r="48" spans="1:10" x14ac:dyDescent="0.2">
      <c r="A48" s="80">
        <v>1</v>
      </c>
      <c r="B48" s="82">
        <v>45173</v>
      </c>
      <c r="C48" s="82">
        <v>45257</v>
      </c>
      <c r="D48" s="82" t="s">
        <v>364</v>
      </c>
      <c r="E48" s="81" t="s">
        <v>475</v>
      </c>
      <c r="F48" s="85">
        <v>45248</v>
      </c>
      <c r="G48" s="86">
        <v>0.78</v>
      </c>
      <c r="H48" s="81">
        <f>IF(YB_3[[#This Row],[Afrondingsdatum]]="N/A","-",YB_3[[#This Row],[Afrondingsdatum]]-YB_3[[#This Row],[StartDatum]])</f>
        <v>75</v>
      </c>
      <c r="I48" s="106" t="str">
        <f>IF(OR(YB_3[[#This Row],[Klas]]="FC2A",YB_3[[#This Row],[Klas]]="FC2C"),"A","B")</f>
        <v>B</v>
      </c>
      <c r="J48" s="117" t="s">
        <v>569</v>
      </c>
    </row>
    <row r="49" spans="1:10" x14ac:dyDescent="0.2">
      <c r="A49" s="76">
        <v>1</v>
      </c>
      <c r="B49" s="77">
        <v>45173</v>
      </c>
      <c r="C49" s="77">
        <v>45257</v>
      </c>
      <c r="D49" s="77" t="s">
        <v>363</v>
      </c>
      <c r="E49" s="35" t="s">
        <v>476</v>
      </c>
      <c r="F49" s="37">
        <v>45226</v>
      </c>
      <c r="G49" s="36">
        <v>0.8</v>
      </c>
      <c r="H49" s="35">
        <f>IF(YB_3[[#This Row],[Afrondingsdatum]]="N/A","-",YB_3[[#This Row],[Afrondingsdatum]]-YB_3[[#This Row],[StartDatum]])</f>
        <v>53</v>
      </c>
      <c r="I49" s="107" t="str">
        <f>IF(OR(YB_3[[#This Row],[Klas]]="FC2A",YB_3[[#This Row],[Klas]]="FC2C"),"A","B")</f>
        <v>B</v>
      </c>
      <c r="J49" s="118" t="s">
        <v>580</v>
      </c>
    </row>
    <row r="50" spans="1:10" x14ac:dyDescent="0.2">
      <c r="A50" s="80">
        <v>1</v>
      </c>
      <c r="B50" s="82">
        <v>45173</v>
      </c>
      <c r="C50" s="82">
        <v>45257</v>
      </c>
      <c r="D50" s="82" t="s">
        <v>364</v>
      </c>
      <c r="E50" s="81" t="s">
        <v>477</v>
      </c>
      <c r="F50" s="85">
        <v>45217</v>
      </c>
      <c r="G50" s="86">
        <v>0.73</v>
      </c>
      <c r="H50" s="81">
        <f>IF(YB_3[[#This Row],[Afrondingsdatum]]="N/A","-",YB_3[[#This Row],[Afrondingsdatum]]-YB_3[[#This Row],[StartDatum]])</f>
        <v>44</v>
      </c>
      <c r="I50" s="106" t="str">
        <f>IF(OR(YB_3[[#This Row],[Klas]]="FC2A",YB_3[[#This Row],[Klas]]="FC2C"),"A","B")</f>
        <v>B</v>
      </c>
      <c r="J50" s="117" t="s">
        <v>564</v>
      </c>
    </row>
    <row r="51" spans="1:10" x14ac:dyDescent="0.2">
      <c r="A51" s="76">
        <v>1</v>
      </c>
      <c r="B51" s="77">
        <v>45173</v>
      </c>
      <c r="C51" s="77">
        <v>45257</v>
      </c>
      <c r="D51" s="77" t="s">
        <v>364</v>
      </c>
      <c r="E51" s="35" t="s">
        <v>478</v>
      </c>
      <c r="F51" s="37">
        <v>45217</v>
      </c>
      <c r="G51" s="36">
        <v>0.75</v>
      </c>
      <c r="H51" s="35">
        <f>IF(YB_3[[#This Row],[Afrondingsdatum]]="N/A","-",YB_3[[#This Row],[Afrondingsdatum]]-YB_3[[#This Row],[StartDatum]])</f>
        <v>44</v>
      </c>
      <c r="I51" s="107" t="str">
        <f>IF(OR(YB_3[[#This Row],[Klas]]="FC2A",YB_3[[#This Row],[Klas]]="FC2C"),"A","B")</f>
        <v>B</v>
      </c>
      <c r="J51" s="118" t="s">
        <v>562</v>
      </c>
    </row>
    <row r="52" spans="1:10" x14ac:dyDescent="0.2">
      <c r="A52" s="80">
        <v>1</v>
      </c>
      <c r="B52" s="82">
        <v>45173</v>
      </c>
      <c r="C52" s="82">
        <v>45257</v>
      </c>
      <c r="D52" s="82" t="s">
        <v>362</v>
      </c>
      <c r="E52" s="81" t="s">
        <v>479</v>
      </c>
      <c r="F52" s="81" t="s">
        <v>7</v>
      </c>
      <c r="G52" s="81" t="s">
        <v>9</v>
      </c>
      <c r="H52" s="81" t="str">
        <f>IF(YB_3[[#This Row],[Afrondingsdatum]]="N/A","-",YB_3[[#This Row],[Afrondingsdatum]]-YB_3[[#This Row],[StartDatum]])</f>
        <v>-</v>
      </c>
      <c r="I52" s="106" t="str">
        <f>IF(OR(YB_3[[#This Row],[Klas]]="FC2A",YB_3[[#This Row],[Klas]]="FC2C"),"A","B")</f>
        <v>A</v>
      </c>
      <c r="J52" s="117" t="s">
        <v>571</v>
      </c>
    </row>
    <row r="53" spans="1:10" x14ac:dyDescent="0.2">
      <c r="A53" s="76">
        <v>1</v>
      </c>
      <c r="B53" s="77">
        <v>45173</v>
      </c>
      <c r="C53" s="77">
        <v>45257</v>
      </c>
      <c r="D53" s="77" t="s">
        <v>363</v>
      </c>
      <c r="E53" s="35" t="s">
        <v>480</v>
      </c>
      <c r="F53" s="37">
        <v>45228</v>
      </c>
      <c r="G53" s="36">
        <v>0.75</v>
      </c>
      <c r="H53" s="35">
        <f>IF(YB_3[[#This Row],[Afrondingsdatum]]="N/A","-",YB_3[[#This Row],[Afrondingsdatum]]-YB_3[[#This Row],[StartDatum]])</f>
        <v>55</v>
      </c>
      <c r="I53" s="107" t="str">
        <f>IF(OR(YB_3[[#This Row],[Klas]]="FC2A",YB_3[[#This Row],[Klas]]="FC2C"),"A","B")</f>
        <v>B</v>
      </c>
      <c r="J53" s="118" t="s">
        <v>578</v>
      </c>
    </row>
    <row r="54" spans="1:10" x14ac:dyDescent="0.2">
      <c r="A54" s="80">
        <v>1</v>
      </c>
      <c r="B54" s="82">
        <v>45173</v>
      </c>
      <c r="C54" s="82">
        <v>45257</v>
      </c>
      <c r="D54" s="82" t="s">
        <v>362</v>
      </c>
      <c r="E54" s="81" t="s">
        <v>459</v>
      </c>
      <c r="F54" s="85">
        <v>45238</v>
      </c>
      <c r="G54" s="86">
        <v>0.8</v>
      </c>
      <c r="H54" s="81">
        <f>IF(YB_3[[#This Row],[Afrondingsdatum]]="N/A","-",YB_3[[#This Row],[Afrondingsdatum]]-YB_3[[#This Row],[StartDatum]])</f>
        <v>65</v>
      </c>
      <c r="I54" s="106" t="str">
        <f>IF(OR(YB_3[[#This Row],[Klas]]="FC2A",YB_3[[#This Row],[Klas]]="FC2C"),"A","B")</f>
        <v>A</v>
      </c>
      <c r="J54" s="117" t="s">
        <v>572</v>
      </c>
    </row>
    <row r="55" spans="1:10" x14ac:dyDescent="0.2">
      <c r="A55" s="76">
        <v>1</v>
      </c>
      <c r="B55" s="77">
        <v>45173</v>
      </c>
      <c r="C55" s="77">
        <v>45257</v>
      </c>
      <c r="D55" s="77" t="s">
        <v>364</v>
      </c>
      <c r="E55" s="35" t="s">
        <v>481</v>
      </c>
      <c r="F55" s="37">
        <v>45234</v>
      </c>
      <c r="G55" s="36">
        <v>0.78</v>
      </c>
      <c r="H55" s="35">
        <f>IF(YB_3[[#This Row],[Afrondingsdatum]]="N/A","-",YB_3[[#This Row],[Afrondingsdatum]]-YB_3[[#This Row],[StartDatum]])</f>
        <v>61</v>
      </c>
      <c r="I55" s="107" t="str">
        <f>IF(OR(YB_3[[#This Row],[Klas]]="FC2A",YB_3[[#This Row],[Klas]]="FC2C"),"A","B")</f>
        <v>B</v>
      </c>
      <c r="J55" s="118" t="s">
        <v>564</v>
      </c>
    </row>
    <row r="56" spans="1:10" x14ac:dyDescent="0.2">
      <c r="A56" s="80">
        <v>1</v>
      </c>
      <c r="B56" s="82">
        <v>45173</v>
      </c>
      <c r="C56" s="82">
        <v>45257</v>
      </c>
      <c r="D56" s="82" t="s">
        <v>364</v>
      </c>
      <c r="E56" s="81" t="s">
        <v>482</v>
      </c>
      <c r="F56" s="85">
        <v>45242</v>
      </c>
      <c r="G56" s="86">
        <v>0.73</v>
      </c>
      <c r="H56" s="81">
        <f>IF(YB_3[[#This Row],[Afrondingsdatum]]="N/A","-",YB_3[[#This Row],[Afrondingsdatum]]-YB_3[[#This Row],[StartDatum]])</f>
        <v>69</v>
      </c>
      <c r="I56" s="106" t="str">
        <f>IF(OR(YB_3[[#This Row],[Klas]]="FC2A",YB_3[[#This Row],[Klas]]="FC2C"),"A","B")</f>
        <v>B</v>
      </c>
      <c r="J56" s="117" t="s">
        <v>565</v>
      </c>
    </row>
    <row r="57" spans="1:10" x14ac:dyDescent="0.2">
      <c r="A57" s="76">
        <v>1</v>
      </c>
      <c r="B57" s="77">
        <v>45173</v>
      </c>
      <c r="C57" s="77">
        <v>45257</v>
      </c>
      <c r="D57" s="77" t="s">
        <v>364</v>
      </c>
      <c r="E57" s="35" t="s">
        <v>483</v>
      </c>
      <c r="F57" s="37">
        <v>45217</v>
      </c>
      <c r="G57" s="36">
        <v>0.95</v>
      </c>
      <c r="H57" s="35">
        <f>IF(YB_3[[#This Row],[Afrondingsdatum]]="N/A","-",YB_3[[#This Row],[Afrondingsdatum]]-YB_3[[#This Row],[StartDatum]])</f>
        <v>44</v>
      </c>
      <c r="I57" s="107" t="str">
        <f>IF(OR(YB_3[[#This Row],[Klas]]="FC2A",YB_3[[#This Row],[Klas]]="FC2C"),"A","B")</f>
        <v>B</v>
      </c>
      <c r="J57" s="118" t="s">
        <v>562</v>
      </c>
    </row>
    <row r="58" spans="1:10" x14ac:dyDescent="0.2">
      <c r="A58" s="80">
        <v>1</v>
      </c>
      <c r="B58" s="82">
        <v>45173</v>
      </c>
      <c r="C58" s="82">
        <v>45257</v>
      </c>
      <c r="D58" s="82" t="s">
        <v>363</v>
      </c>
      <c r="E58" s="81" t="s">
        <v>484</v>
      </c>
      <c r="F58" s="85">
        <v>45228</v>
      </c>
      <c r="G58" s="86">
        <v>0.83</v>
      </c>
      <c r="H58" s="81">
        <f>IF(YB_3[[#This Row],[Afrondingsdatum]]="N/A","-",YB_3[[#This Row],[Afrondingsdatum]]-YB_3[[#This Row],[StartDatum]])</f>
        <v>55</v>
      </c>
      <c r="I58" s="106" t="str">
        <f>IF(OR(YB_3[[#This Row],[Klas]]="FC2A",YB_3[[#This Row],[Klas]]="FC2C"),"A","B")</f>
        <v>B</v>
      </c>
      <c r="J58" s="121" t="s">
        <v>8</v>
      </c>
    </row>
    <row r="59" spans="1:10" x14ac:dyDescent="0.2">
      <c r="A59" s="76">
        <v>1</v>
      </c>
      <c r="B59" s="77">
        <v>45173</v>
      </c>
      <c r="C59" s="77">
        <v>45257</v>
      </c>
      <c r="D59" s="77" t="s">
        <v>364</v>
      </c>
      <c r="E59" s="35" t="s">
        <v>485</v>
      </c>
      <c r="F59" s="37">
        <v>45228</v>
      </c>
      <c r="G59" s="36">
        <v>0.73</v>
      </c>
      <c r="H59" s="35">
        <f>IF(YB_3[[#This Row],[Afrondingsdatum]]="N/A","-",YB_3[[#This Row],[Afrondingsdatum]]-YB_3[[#This Row],[StartDatum]])</f>
        <v>55</v>
      </c>
      <c r="I59" s="107" t="str">
        <f>IF(OR(YB_3[[#This Row],[Klas]]="FC2A",YB_3[[#This Row],[Klas]]="FC2C"),"A","B")</f>
        <v>B</v>
      </c>
      <c r="J59" s="118" t="s">
        <v>568</v>
      </c>
    </row>
    <row r="60" spans="1:10" x14ac:dyDescent="0.2">
      <c r="A60" s="80">
        <v>1</v>
      </c>
      <c r="B60" s="82">
        <v>45173</v>
      </c>
      <c r="C60" s="82">
        <v>45257</v>
      </c>
      <c r="D60" s="82" t="s">
        <v>362</v>
      </c>
      <c r="E60" s="81" t="s">
        <v>486</v>
      </c>
      <c r="F60" s="85">
        <v>45237</v>
      </c>
      <c r="G60" s="86">
        <v>0.9</v>
      </c>
      <c r="H60" s="81">
        <f>IF(YB_3[[#This Row],[Afrondingsdatum]]="N/A","-",YB_3[[#This Row],[Afrondingsdatum]]-YB_3[[#This Row],[StartDatum]])</f>
        <v>64</v>
      </c>
      <c r="I60" s="106" t="str">
        <f>IF(OR(YB_3[[#This Row],[Klas]]="FC2A",YB_3[[#This Row],[Klas]]="FC2C"),"A","B")</f>
        <v>A</v>
      </c>
      <c r="J60" s="117" t="s">
        <v>575</v>
      </c>
    </row>
    <row r="61" spans="1:10" x14ac:dyDescent="0.2">
      <c r="A61" s="76">
        <v>1</v>
      </c>
      <c r="B61" s="77">
        <v>45173</v>
      </c>
      <c r="C61" s="77">
        <v>45257</v>
      </c>
      <c r="D61" s="77" t="s">
        <v>364</v>
      </c>
      <c r="E61" s="35" t="s">
        <v>474</v>
      </c>
      <c r="F61" s="37">
        <v>45236</v>
      </c>
      <c r="G61" s="36">
        <v>0.78</v>
      </c>
      <c r="H61" s="35">
        <f>IF(YB_3[[#This Row],[Afrondingsdatum]]="N/A","-",YB_3[[#This Row],[Afrondingsdatum]]-YB_3[[#This Row],[StartDatum]])</f>
        <v>63</v>
      </c>
      <c r="I61" s="107" t="str">
        <f>IF(OR(YB_3[[#This Row],[Klas]]="FC2A",YB_3[[#This Row],[Klas]]="FC2C"),"A","B")</f>
        <v>B</v>
      </c>
      <c r="J61" s="118" t="s">
        <v>568</v>
      </c>
    </row>
    <row r="62" spans="1:10" x14ac:dyDescent="0.2">
      <c r="A62" s="80">
        <v>1</v>
      </c>
      <c r="B62" s="82">
        <v>45173</v>
      </c>
      <c r="C62" s="82">
        <v>45257</v>
      </c>
      <c r="D62" s="82" t="s">
        <v>362</v>
      </c>
      <c r="E62" s="81" t="s">
        <v>487</v>
      </c>
      <c r="F62" s="85">
        <v>45222</v>
      </c>
      <c r="G62" s="86">
        <v>0.8</v>
      </c>
      <c r="H62" s="81">
        <f>IF(YB_3[[#This Row],[Afrondingsdatum]]="N/A","-",YB_3[[#This Row],[Afrondingsdatum]]-YB_3[[#This Row],[StartDatum]])</f>
        <v>49</v>
      </c>
      <c r="I62" s="106" t="str">
        <f>IF(OR(YB_3[[#This Row],[Klas]]="FC2A",YB_3[[#This Row],[Klas]]="FC2C"),"A","B")</f>
        <v>A</v>
      </c>
      <c r="J62" s="117" t="s">
        <v>570</v>
      </c>
    </row>
    <row r="63" spans="1:10" x14ac:dyDescent="0.2">
      <c r="A63" s="76">
        <v>1</v>
      </c>
      <c r="B63" s="77">
        <v>45173</v>
      </c>
      <c r="C63" s="77">
        <v>45257</v>
      </c>
      <c r="D63" s="77" t="s">
        <v>363</v>
      </c>
      <c r="E63" s="35" t="s">
        <v>488</v>
      </c>
      <c r="F63" s="37">
        <v>45228</v>
      </c>
      <c r="G63" s="36">
        <v>0.75</v>
      </c>
      <c r="H63" s="35">
        <f>IF(YB_3[[#This Row],[Afrondingsdatum]]="N/A","-",YB_3[[#This Row],[Afrondingsdatum]]-YB_3[[#This Row],[StartDatum]])</f>
        <v>55</v>
      </c>
      <c r="I63" s="107" t="str">
        <f>IF(OR(YB_3[[#This Row],[Klas]]="FC2A",YB_3[[#This Row],[Klas]]="FC2C"),"A","B")</f>
        <v>B</v>
      </c>
      <c r="J63" s="118" t="s">
        <v>576</v>
      </c>
    </row>
    <row r="64" spans="1:10" x14ac:dyDescent="0.2">
      <c r="A64" s="80">
        <v>1</v>
      </c>
      <c r="B64" s="82">
        <v>45173</v>
      </c>
      <c r="C64" s="82">
        <v>45257</v>
      </c>
      <c r="D64" s="82" t="s">
        <v>363</v>
      </c>
      <c r="E64" s="81" t="s">
        <v>489</v>
      </c>
      <c r="F64" s="85">
        <v>45231</v>
      </c>
      <c r="G64" s="86">
        <v>0.83</v>
      </c>
      <c r="H64" s="81">
        <f>IF(YB_3[[#This Row],[Afrondingsdatum]]="N/A","-",YB_3[[#This Row],[Afrondingsdatum]]-YB_3[[#This Row],[StartDatum]])</f>
        <v>58</v>
      </c>
      <c r="I64" s="106" t="str">
        <f>IF(OR(YB_3[[#This Row],[Klas]]="FC2A",YB_3[[#This Row],[Klas]]="FC2C"),"A","B")</f>
        <v>B</v>
      </c>
      <c r="J64" s="117" t="s">
        <v>576</v>
      </c>
    </row>
    <row r="65" spans="1:10" x14ac:dyDescent="0.2">
      <c r="A65" s="76">
        <v>1</v>
      </c>
      <c r="B65" s="77">
        <v>45173</v>
      </c>
      <c r="C65" s="77">
        <v>45257</v>
      </c>
      <c r="D65" s="77" t="s">
        <v>363</v>
      </c>
      <c r="E65" s="35" t="s">
        <v>481</v>
      </c>
      <c r="F65" s="37">
        <v>45202</v>
      </c>
      <c r="G65" s="36">
        <v>0.75</v>
      </c>
      <c r="H65" s="35">
        <f>IF(YB_3[[#This Row],[Afrondingsdatum]]="N/A","-",YB_3[[#This Row],[Afrondingsdatum]]-YB_3[[#This Row],[StartDatum]])</f>
        <v>29</v>
      </c>
      <c r="I65" s="107" t="str">
        <f>IF(OR(YB_3[[#This Row],[Klas]]="FC2A",YB_3[[#This Row],[Klas]]="FC2C"),"A","B")</f>
        <v>B</v>
      </c>
      <c r="J65" s="118" t="s">
        <v>577</v>
      </c>
    </row>
    <row r="66" spans="1:10" x14ac:dyDescent="0.2">
      <c r="A66" s="80">
        <v>1</v>
      </c>
      <c r="B66" s="82">
        <v>45173</v>
      </c>
      <c r="C66" s="82">
        <v>45257</v>
      </c>
      <c r="D66" s="82" t="s">
        <v>362</v>
      </c>
      <c r="E66" s="81" t="s">
        <v>490</v>
      </c>
      <c r="F66" s="85">
        <v>45239</v>
      </c>
      <c r="G66" s="86">
        <v>0.9</v>
      </c>
      <c r="H66" s="81">
        <f>IF(YB_3[[#This Row],[Afrondingsdatum]]="N/A","-",YB_3[[#This Row],[Afrondingsdatum]]-YB_3[[#This Row],[StartDatum]])</f>
        <v>66</v>
      </c>
      <c r="I66" s="106" t="str">
        <f>IF(OR(YB_3[[#This Row],[Klas]]="FC2A",YB_3[[#This Row],[Klas]]="FC2C"),"A","B")</f>
        <v>A</v>
      </c>
      <c r="J66" s="117" t="s">
        <v>574</v>
      </c>
    </row>
    <row r="67" spans="1:10" x14ac:dyDescent="0.2">
      <c r="A67" s="76">
        <v>1</v>
      </c>
      <c r="B67" s="77">
        <v>45173</v>
      </c>
      <c r="C67" s="77">
        <v>45257</v>
      </c>
      <c r="D67" s="77" t="s">
        <v>364</v>
      </c>
      <c r="E67" s="35" t="s">
        <v>491</v>
      </c>
      <c r="F67" s="37">
        <v>45236</v>
      </c>
      <c r="G67" s="36">
        <v>0.88</v>
      </c>
      <c r="H67" s="35">
        <f>IF(YB_3[[#This Row],[Afrondingsdatum]]="N/A","-",YB_3[[#This Row],[Afrondingsdatum]]-YB_3[[#This Row],[StartDatum]])</f>
        <v>63</v>
      </c>
      <c r="I67" s="107" t="str">
        <f>IF(OR(YB_3[[#This Row],[Klas]]="FC2A",YB_3[[#This Row],[Klas]]="FC2C"),"A","B")</f>
        <v>B</v>
      </c>
      <c r="J67" s="118" t="s">
        <v>569</v>
      </c>
    </row>
    <row r="68" spans="1:10" x14ac:dyDescent="0.2">
      <c r="A68" s="80">
        <v>1</v>
      </c>
      <c r="B68" s="82">
        <v>45173</v>
      </c>
      <c r="C68" s="82">
        <v>45257</v>
      </c>
      <c r="D68" s="82" t="s">
        <v>364</v>
      </c>
      <c r="E68" s="81" t="s">
        <v>492</v>
      </c>
      <c r="F68" s="81" t="s">
        <v>7</v>
      </c>
      <c r="G68" s="81" t="s">
        <v>9</v>
      </c>
      <c r="H68" s="81" t="str">
        <f>IF(YB_3[[#This Row],[Afrondingsdatum]]="N/A","-",YB_3[[#This Row],[Afrondingsdatum]]-YB_3[[#This Row],[StartDatum]])</f>
        <v>-</v>
      </c>
      <c r="I68" s="106" t="str">
        <f>IF(OR(YB_3[[#This Row],[Klas]]="FC2A",YB_3[[#This Row],[Klas]]="FC2C"),"A","B")</f>
        <v>B</v>
      </c>
      <c r="J68" s="117" t="s">
        <v>563</v>
      </c>
    </row>
    <row r="69" spans="1:10" x14ac:dyDescent="0.2">
      <c r="A69" s="76">
        <v>1</v>
      </c>
      <c r="B69" s="77">
        <v>45173</v>
      </c>
      <c r="C69" s="77">
        <v>45257</v>
      </c>
      <c r="D69" s="77" t="s">
        <v>362</v>
      </c>
      <c r="E69" s="35" t="s">
        <v>493</v>
      </c>
      <c r="F69" s="35" t="s">
        <v>7</v>
      </c>
      <c r="G69" s="35" t="s">
        <v>9</v>
      </c>
      <c r="H69" s="35" t="str">
        <f>IF(YB_3[[#This Row],[Afrondingsdatum]]="N/A","-",YB_3[[#This Row],[Afrondingsdatum]]-YB_3[[#This Row],[StartDatum]])</f>
        <v>-</v>
      </c>
      <c r="I69" s="107" t="str">
        <f>IF(OR(YB_3[[#This Row],[Klas]]="FC2A",YB_3[[#This Row],[Klas]]="FC2C"),"A","B")</f>
        <v>A</v>
      </c>
      <c r="J69" s="118" t="s">
        <v>574</v>
      </c>
    </row>
    <row r="70" spans="1:10" x14ac:dyDescent="0.2">
      <c r="A70" s="80">
        <v>1</v>
      </c>
      <c r="B70" s="82">
        <v>45173</v>
      </c>
      <c r="C70" s="82">
        <v>45257</v>
      </c>
      <c r="D70" s="82" t="s">
        <v>363</v>
      </c>
      <c r="E70" s="81" t="s">
        <v>494</v>
      </c>
      <c r="F70" s="85">
        <v>45226</v>
      </c>
      <c r="G70" s="86">
        <v>0.75</v>
      </c>
      <c r="H70" s="81">
        <f>IF(YB_3[[#This Row],[Afrondingsdatum]]="N/A","-",YB_3[[#This Row],[Afrondingsdatum]]-YB_3[[#This Row],[StartDatum]])</f>
        <v>53</v>
      </c>
      <c r="I70" s="106" t="str">
        <f>IF(OR(YB_3[[#This Row],[Klas]]="FC2A",YB_3[[#This Row],[Klas]]="FC2C"),"A","B")</f>
        <v>B</v>
      </c>
      <c r="J70" s="117" t="s">
        <v>578</v>
      </c>
    </row>
    <row r="71" spans="1:10" x14ac:dyDescent="0.2">
      <c r="A71" s="76">
        <v>1</v>
      </c>
      <c r="B71" s="77">
        <v>45173</v>
      </c>
      <c r="C71" s="77">
        <v>45257</v>
      </c>
      <c r="D71" s="77" t="s">
        <v>362</v>
      </c>
      <c r="E71" s="35" t="s">
        <v>495</v>
      </c>
      <c r="F71" s="37">
        <v>45246</v>
      </c>
      <c r="G71" s="36">
        <v>0.83</v>
      </c>
      <c r="H71" s="35">
        <f>IF(YB_3[[#This Row],[Afrondingsdatum]]="N/A","-",YB_3[[#This Row],[Afrondingsdatum]]-YB_3[[#This Row],[StartDatum]])</f>
        <v>73</v>
      </c>
      <c r="I71" s="107" t="str">
        <f>IF(OR(YB_3[[#This Row],[Klas]]="FC2A",YB_3[[#This Row],[Klas]]="FC2C"),"A","B")</f>
        <v>A</v>
      </c>
      <c r="J71" s="118" t="s">
        <v>570</v>
      </c>
    </row>
    <row r="72" spans="1:10" x14ac:dyDescent="0.2">
      <c r="A72" s="80">
        <v>1</v>
      </c>
      <c r="B72" s="82">
        <v>45173</v>
      </c>
      <c r="C72" s="82">
        <v>45257</v>
      </c>
      <c r="D72" s="82" t="s">
        <v>364</v>
      </c>
      <c r="E72" s="81" t="s">
        <v>496</v>
      </c>
      <c r="F72" s="85">
        <v>45238</v>
      </c>
      <c r="G72" s="86">
        <v>0.83</v>
      </c>
      <c r="H72" s="81">
        <f>IF(YB_3[[#This Row],[Afrondingsdatum]]="N/A","-",YB_3[[#This Row],[Afrondingsdatum]]-YB_3[[#This Row],[StartDatum]])</f>
        <v>65</v>
      </c>
      <c r="I72" s="106" t="str">
        <f>IF(OR(YB_3[[#This Row],[Klas]]="FC2A",YB_3[[#This Row],[Klas]]="FC2C"),"A","B")</f>
        <v>B</v>
      </c>
      <c r="J72" s="117" t="s">
        <v>566</v>
      </c>
    </row>
    <row r="73" spans="1:10" x14ac:dyDescent="0.2">
      <c r="A73" s="76">
        <v>1</v>
      </c>
      <c r="B73" s="77">
        <v>45173</v>
      </c>
      <c r="C73" s="77">
        <v>45257</v>
      </c>
      <c r="D73" s="77" t="s">
        <v>364</v>
      </c>
      <c r="E73" s="35" t="s">
        <v>497</v>
      </c>
      <c r="F73" s="37">
        <v>45231</v>
      </c>
      <c r="G73" s="36">
        <v>0.93</v>
      </c>
      <c r="H73" s="35">
        <f>IF(YB_3[[#This Row],[Afrondingsdatum]]="N/A","-",YB_3[[#This Row],[Afrondingsdatum]]-YB_3[[#This Row],[StartDatum]])</f>
        <v>58</v>
      </c>
      <c r="I73" s="107" t="str">
        <f>IF(OR(YB_3[[#This Row],[Klas]]="FC2A",YB_3[[#This Row],[Klas]]="FC2C"),"A","B")</f>
        <v>B</v>
      </c>
      <c r="J73" s="118" t="s">
        <v>563</v>
      </c>
    </row>
    <row r="74" spans="1:10" x14ac:dyDescent="0.2">
      <c r="A74" s="80">
        <v>1</v>
      </c>
      <c r="B74" s="82">
        <v>45173</v>
      </c>
      <c r="C74" s="82">
        <v>45257</v>
      </c>
      <c r="D74" s="82" t="s">
        <v>364</v>
      </c>
      <c r="E74" s="81" t="s">
        <v>498</v>
      </c>
      <c r="F74" s="85">
        <v>45249</v>
      </c>
      <c r="G74" s="86">
        <v>0.8</v>
      </c>
      <c r="H74" s="81">
        <f>IF(YB_3[[#This Row],[Afrondingsdatum]]="N/A","-",YB_3[[#This Row],[Afrondingsdatum]]-YB_3[[#This Row],[StartDatum]])</f>
        <v>76</v>
      </c>
      <c r="I74" s="106" t="str">
        <f>IF(OR(YB_3[[#This Row],[Klas]]="FC2A",YB_3[[#This Row],[Klas]]="FC2C"),"A","B")</f>
        <v>B</v>
      </c>
      <c r="J74" s="117" t="s">
        <v>567</v>
      </c>
    </row>
    <row r="75" spans="1:10" x14ac:dyDescent="0.2">
      <c r="A75" s="76">
        <v>1</v>
      </c>
      <c r="B75" s="77">
        <v>45173</v>
      </c>
      <c r="C75" s="77">
        <v>45257</v>
      </c>
      <c r="D75" s="77" t="s">
        <v>364</v>
      </c>
      <c r="E75" s="35" t="s">
        <v>499</v>
      </c>
      <c r="F75" s="37">
        <v>45217</v>
      </c>
      <c r="G75" s="36">
        <v>0.73</v>
      </c>
      <c r="H75" s="35">
        <f>IF(YB_3[[#This Row],[Afrondingsdatum]]="N/A","-",YB_3[[#This Row],[Afrondingsdatum]]-YB_3[[#This Row],[StartDatum]])</f>
        <v>44</v>
      </c>
      <c r="I75" s="107" t="str">
        <f>IF(OR(YB_3[[#This Row],[Klas]]="FC2A",YB_3[[#This Row],[Klas]]="FC2C"),"A","B")</f>
        <v>B</v>
      </c>
      <c r="J75" s="118" t="s">
        <v>567</v>
      </c>
    </row>
    <row r="76" spans="1:10" x14ac:dyDescent="0.2">
      <c r="A76" s="80">
        <v>1</v>
      </c>
      <c r="B76" s="82">
        <v>45173</v>
      </c>
      <c r="C76" s="82">
        <v>45257</v>
      </c>
      <c r="D76" s="82" t="s">
        <v>363</v>
      </c>
      <c r="E76" s="81" t="s">
        <v>500</v>
      </c>
      <c r="F76" s="85">
        <v>45229</v>
      </c>
      <c r="G76" s="86">
        <v>0.75</v>
      </c>
      <c r="H76" s="81">
        <f>IF(YB_3[[#This Row],[Afrondingsdatum]]="N/A","-",YB_3[[#This Row],[Afrondingsdatum]]-YB_3[[#This Row],[StartDatum]])</f>
        <v>56</v>
      </c>
      <c r="I76" s="106" t="str">
        <f>IF(OR(YB_3[[#This Row],[Klas]]="FC2A",YB_3[[#This Row],[Klas]]="FC2C"),"A","B")</f>
        <v>B</v>
      </c>
      <c r="J76" s="117" t="s">
        <v>581</v>
      </c>
    </row>
    <row r="77" spans="1:10" x14ac:dyDescent="0.2">
      <c r="A77" s="76">
        <v>3</v>
      </c>
      <c r="B77" s="77">
        <v>45327</v>
      </c>
      <c r="C77" s="77">
        <v>45425</v>
      </c>
      <c r="D77" s="77" t="s">
        <v>280</v>
      </c>
      <c r="E77" s="35" t="s">
        <v>501</v>
      </c>
      <c r="F77" s="37">
        <v>45373</v>
      </c>
      <c r="G77" s="36">
        <v>0.8</v>
      </c>
      <c r="H77" s="35">
        <f>IF(YB_3[[#This Row],[Afrondingsdatum]]="N/A","-",YB_3[[#This Row],[Afrondingsdatum]]-YB_3[[#This Row],[StartDatum]])</f>
        <v>46</v>
      </c>
      <c r="I77" s="107" t="str">
        <f>IF(OR(YB_3[[#This Row],[Klas]]="FC2A",YB_3[[#This Row],[Klas]]="FC2C"),"A","B")</f>
        <v>A</v>
      </c>
      <c r="J77" s="118" t="s">
        <v>552</v>
      </c>
    </row>
    <row r="78" spans="1:10" x14ac:dyDescent="0.2">
      <c r="A78" s="80">
        <v>3</v>
      </c>
      <c r="B78" s="82">
        <v>45327</v>
      </c>
      <c r="C78" s="82">
        <v>45425</v>
      </c>
      <c r="D78" s="82" t="s">
        <v>280</v>
      </c>
      <c r="E78" s="81" t="s">
        <v>502</v>
      </c>
      <c r="F78" s="81" t="s">
        <v>7</v>
      </c>
      <c r="G78" s="81" t="s">
        <v>9</v>
      </c>
      <c r="H78" s="81" t="str">
        <f>IF(YB_3[[#This Row],[Afrondingsdatum]]="N/A","-",YB_3[[#This Row],[Afrondingsdatum]]-YB_3[[#This Row],[StartDatum]])</f>
        <v>-</v>
      </c>
      <c r="I78" s="106" t="str">
        <f>IF(OR(YB_3[[#This Row],[Klas]]="FC2A",YB_3[[#This Row],[Klas]]="FC2C"),"A","B")</f>
        <v>A</v>
      </c>
      <c r="J78" s="117" t="s">
        <v>551</v>
      </c>
    </row>
    <row r="79" spans="1:10" x14ac:dyDescent="0.2">
      <c r="A79" s="76">
        <v>3</v>
      </c>
      <c r="B79" s="77">
        <v>45327</v>
      </c>
      <c r="C79" s="77">
        <v>45425</v>
      </c>
      <c r="D79" s="77" t="s">
        <v>283</v>
      </c>
      <c r="E79" s="35" t="s">
        <v>503</v>
      </c>
      <c r="F79" s="37">
        <v>45354</v>
      </c>
      <c r="G79" s="36">
        <v>0.8</v>
      </c>
      <c r="H79" s="35">
        <f>IF(YB_3[[#This Row],[Afrondingsdatum]]="N/A","-",YB_3[[#This Row],[Afrondingsdatum]]-YB_3[[#This Row],[StartDatum]])</f>
        <v>27</v>
      </c>
      <c r="I79" s="107" t="str">
        <f>IF(OR(YB_3[[#This Row],[Klas]]="FC2A",YB_3[[#This Row],[Klas]]="FC2C"),"A","B")</f>
        <v>B</v>
      </c>
      <c r="J79" s="118" t="s">
        <v>557</v>
      </c>
    </row>
    <row r="80" spans="1:10" x14ac:dyDescent="0.2">
      <c r="A80" s="80">
        <v>3</v>
      </c>
      <c r="B80" s="82">
        <v>45327</v>
      </c>
      <c r="C80" s="82">
        <v>45425</v>
      </c>
      <c r="D80" s="82" t="s">
        <v>283</v>
      </c>
      <c r="E80" s="81" t="s">
        <v>504</v>
      </c>
      <c r="F80" s="85">
        <v>45380</v>
      </c>
      <c r="G80" s="86">
        <v>0.78</v>
      </c>
      <c r="H80" s="81">
        <f>IF(YB_3[[#This Row],[Afrondingsdatum]]="N/A","-",YB_3[[#This Row],[Afrondingsdatum]]-YB_3[[#This Row],[StartDatum]])</f>
        <v>53</v>
      </c>
      <c r="I80" s="106" t="str">
        <f>IF(OR(YB_3[[#This Row],[Klas]]="FC2A",YB_3[[#This Row],[Klas]]="FC2C"),"A","B")</f>
        <v>B</v>
      </c>
      <c r="J80" s="117" t="s">
        <v>561</v>
      </c>
    </row>
    <row r="81" spans="1:10" x14ac:dyDescent="0.2">
      <c r="A81" s="76">
        <v>3</v>
      </c>
      <c r="B81" s="77">
        <v>45327</v>
      </c>
      <c r="C81" s="77">
        <v>45425</v>
      </c>
      <c r="D81" s="77" t="s">
        <v>283</v>
      </c>
      <c r="E81" s="35" t="s">
        <v>505</v>
      </c>
      <c r="F81" s="37">
        <v>45382</v>
      </c>
      <c r="G81" s="36">
        <v>0.85</v>
      </c>
      <c r="H81" s="35">
        <f>IF(YB_3[[#This Row],[Afrondingsdatum]]="N/A","-",YB_3[[#This Row],[Afrondingsdatum]]-YB_3[[#This Row],[StartDatum]])</f>
        <v>55</v>
      </c>
      <c r="I81" s="107" t="str">
        <f>IF(OR(YB_3[[#This Row],[Klas]]="FC2A",YB_3[[#This Row],[Klas]]="FC2C"),"A","B")</f>
        <v>B</v>
      </c>
      <c r="J81" s="118" t="s">
        <v>558</v>
      </c>
    </row>
    <row r="82" spans="1:10" x14ac:dyDescent="0.2">
      <c r="A82" s="80">
        <v>3</v>
      </c>
      <c r="B82" s="82">
        <v>45327</v>
      </c>
      <c r="C82" s="82">
        <v>45425</v>
      </c>
      <c r="D82" s="82" t="s">
        <v>283</v>
      </c>
      <c r="E82" s="81" t="s">
        <v>506</v>
      </c>
      <c r="F82" s="85">
        <v>45352</v>
      </c>
      <c r="G82" s="86">
        <v>0.85</v>
      </c>
      <c r="H82" s="81">
        <f>IF(YB_3[[#This Row],[Afrondingsdatum]]="N/A","-",YB_3[[#This Row],[Afrondingsdatum]]-YB_3[[#This Row],[StartDatum]])</f>
        <v>25</v>
      </c>
      <c r="I82" s="106" t="str">
        <f>IF(OR(YB_3[[#This Row],[Klas]]="FC2A",YB_3[[#This Row],[Klas]]="FC2C"),"A","B")</f>
        <v>B</v>
      </c>
      <c r="J82" s="117" t="s">
        <v>557</v>
      </c>
    </row>
    <row r="83" spans="1:10" x14ac:dyDescent="0.2">
      <c r="A83" s="76">
        <v>3</v>
      </c>
      <c r="B83" s="77">
        <v>45327</v>
      </c>
      <c r="C83" s="77">
        <v>45425</v>
      </c>
      <c r="D83" s="77" t="s">
        <v>283</v>
      </c>
      <c r="E83" s="35" t="s">
        <v>507</v>
      </c>
      <c r="F83" s="37">
        <v>45397</v>
      </c>
      <c r="G83" s="36">
        <v>0.83</v>
      </c>
      <c r="H83" s="35">
        <f>IF(YB_3[[#This Row],[Afrondingsdatum]]="N/A","-",YB_3[[#This Row],[Afrondingsdatum]]-YB_3[[#This Row],[StartDatum]])</f>
        <v>70</v>
      </c>
      <c r="I83" s="107" t="str">
        <f>IF(OR(YB_3[[#This Row],[Klas]]="FC2A",YB_3[[#This Row],[Klas]]="FC2C"),"A","B")</f>
        <v>B</v>
      </c>
      <c r="J83" s="118" t="s">
        <v>559</v>
      </c>
    </row>
    <row r="84" spans="1:10" x14ac:dyDescent="0.2">
      <c r="A84" s="80">
        <v>3</v>
      </c>
      <c r="B84" s="82">
        <v>45327</v>
      </c>
      <c r="C84" s="82">
        <v>45425</v>
      </c>
      <c r="D84" s="82" t="s">
        <v>280</v>
      </c>
      <c r="E84" s="81" t="s">
        <v>508</v>
      </c>
      <c r="F84" s="85">
        <v>45383</v>
      </c>
      <c r="G84" s="86">
        <v>0.9</v>
      </c>
      <c r="H84" s="81">
        <f>IF(YB_3[[#This Row],[Afrondingsdatum]]="N/A","-",YB_3[[#This Row],[Afrondingsdatum]]-YB_3[[#This Row],[StartDatum]])</f>
        <v>56</v>
      </c>
      <c r="I84" s="106" t="str">
        <f>IF(OR(YB_3[[#This Row],[Klas]]="FC2A",YB_3[[#This Row],[Klas]]="FC2C"),"A","B")</f>
        <v>A</v>
      </c>
      <c r="J84" s="117" t="s">
        <v>553</v>
      </c>
    </row>
    <row r="85" spans="1:10" x14ac:dyDescent="0.2">
      <c r="A85" s="76">
        <v>3</v>
      </c>
      <c r="B85" s="77">
        <v>45327</v>
      </c>
      <c r="C85" s="77">
        <v>45425</v>
      </c>
      <c r="D85" s="77" t="s">
        <v>283</v>
      </c>
      <c r="E85" s="35" t="s">
        <v>509</v>
      </c>
      <c r="F85" s="37">
        <v>45390</v>
      </c>
      <c r="G85" s="36">
        <v>0.8</v>
      </c>
      <c r="H85" s="35">
        <f>IF(YB_3[[#This Row],[Afrondingsdatum]]="N/A","-",YB_3[[#This Row],[Afrondingsdatum]]-YB_3[[#This Row],[StartDatum]])</f>
        <v>63</v>
      </c>
      <c r="I85" s="107" t="str">
        <f>IF(OR(YB_3[[#This Row],[Klas]]="FC2A",YB_3[[#This Row],[Klas]]="FC2C"),"A","B")</f>
        <v>B</v>
      </c>
      <c r="J85" s="118" t="s">
        <v>560</v>
      </c>
    </row>
    <row r="86" spans="1:10" x14ac:dyDescent="0.2">
      <c r="A86" s="80">
        <v>3</v>
      </c>
      <c r="B86" s="82">
        <v>45327</v>
      </c>
      <c r="C86" s="82">
        <v>45425</v>
      </c>
      <c r="D86" s="82" t="s">
        <v>280</v>
      </c>
      <c r="E86" s="81" t="s">
        <v>510</v>
      </c>
      <c r="F86" s="85">
        <v>45373</v>
      </c>
      <c r="G86" s="86">
        <v>0.8</v>
      </c>
      <c r="H86" s="81">
        <f>IF(YB_3[[#This Row],[Afrondingsdatum]]="N/A","-",YB_3[[#This Row],[Afrondingsdatum]]-YB_3[[#This Row],[StartDatum]])</f>
        <v>46</v>
      </c>
      <c r="I86" s="106" t="str">
        <f>IF(OR(YB_3[[#This Row],[Klas]]="FC2A",YB_3[[#This Row],[Klas]]="FC2C"),"A","B")</f>
        <v>A</v>
      </c>
      <c r="J86" s="117" t="s">
        <v>553</v>
      </c>
    </row>
    <row r="87" spans="1:10" x14ac:dyDescent="0.2">
      <c r="A87" s="76">
        <v>3</v>
      </c>
      <c r="B87" s="77">
        <v>45327</v>
      </c>
      <c r="C87" s="77">
        <v>45425</v>
      </c>
      <c r="D87" s="77" t="s">
        <v>283</v>
      </c>
      <c r="E87" s="35" t="s">
        <v>511</v>
      </c>
      <c r="F87" s="37">
        <v>45389</v>
      </c>
      <c r="G87" s="36">
        <v>0.83</v>
      </c>
      <c r="H87" s="35">
        <f>IF(YB_3[[#This Row],[Afrondingsdatum]]="N/A","-",YB_3[[#This Row],[Afrondingsdatum]]-YB_3[[#This Row],[StartDatum]])</f>
        <v>62</v>
      </c>
      <c r="I87" s="107" t="str">
        <f>IF(OR(YB_3[[#This Row],[Klas]]="FC2A",YB_3[[#This Row],[Klas]]="FC2C"),"A","B")</f>
        <v>B</v>
      </c>
      <c r="J87" s="118" t="s">
        <v>558</v>
      </c>
    </row>
    <row r="88" spans="1:10" x14ac:dyDescent="0.2">
      <c r="A88" s="80">
        <v>3</v>
      </c>
      <c r="B88" s="82">
        <v>45327</v>
      </c>
      <c r="C88" s="82">
        <v>45425</v>
      </c>
      <c r="D88" s="82" t="s">
        <v>283</v>
      </c>
      <c r="E88" s="81" t="s">
        <v>512</v>
      </c>
      <c r="F88" s="85">
        <v>45358</v>
      </c>
      <c r="G88" s="86">
        <v>0.78</v>
      </c>
      <c r="H88" s="81">
        <f>IF(YB_3[[#This Row],[Afrondingsdatum]]="N/A","-",YB_3[[#This Row],[Afrondingsdatum]]-YB_3[[#This Row],[StartDatum]])</f>
        <v>31</v>
      </c>
      <c r="I88" s="106" t="str">
        <f>IF(OR(YB_3[[#This Row],[Klas]]="FC2A",YB_3[[#This Row],[Klas]]="FC2C"),"A","B")</f>
        <v>B</v>
      </c>
      <c r="J88" s="117" t="s">
        <v>556</v>
      </c>
    </row>
    <row r="89" spans="1:10" x14ac:dyDescent="0.2">
      <c r="A89" s="76">
        <v>3</v>
      </c>
      <c r="B89" s="77">
        <v>45327</v>
      </c>
      <c r="C89" s="77">
        <v>45425</v>
      </c>
      <c r="D89" s="77" t="s">
        <v>283</v>
      </c>
      <c r="E89" s="35" t="s">
        <v>513</v>
      </c>
      <c r="F89" s="37">
        <v>45389</v>
      </c>
      <c r="G89" s="36">
        <v>0.83</v>
      </c>
      <c r="H89" s="35">
        <f>IF(YB_3[[#This Row],[Afrondingsdatum]]="N/A","-",YB_3[[#This Row],[Afrondingsdatum]]-YB_3[[#This Row],[StartDatum]])</f>
        <v>62</v>
      </c>
      <c r="I89" s="107" t="str">
        <f>IF(OR(YB_3[[#This Row],[Klas]]="FC2A",YB_3[[#This Row],[Klas]]="FC2C"),"A","B")</f>
        <v>B</v>
      </c>
      <c r="J89" s="118" t="s">
        <v>559</v>
      </c>
    </row>
    <row r="90" spans="1:10" x14ac:dyDescent="0.2">
      <c r="A90" s="80">
        <v>3</v>
      </c>
      <c r="B90" s="82">
        <v>45327</v>
      </c>
      <c r="C90" s="82">
        <v>45425</v>
      </c>
      <c r="D90" s="82" t="s">
        <v>280</v>
      </c>
      <c r="E90" s="81" t="s">
        <v>514</v>
      </c>
      <c r="F90" s="81" t="s">
        <v>7</v>
      </c>
      <c r="G90" s="81" t="s">
        <v>9</v>
      </c>
      <c r="H90" s="81" t="str">
        <f>IF(YB_3[[#This Row],[Afrondingsdatum]]="N/A","-",YB_3[[#This Row],[Afrondingsdatum]]-YB_3[[#This Row],[StartDatum]])</f>
        <v>-</v>
      </c>
      <c r="I90" s="106" t="str">
        <f>IF(OR(YB_3[[#This Row],[Klas]]="FC2A",YB_3[[#This Row],[Klas]]="FC2C"),"A","B")</f>
        <v>A</v>
      </c>
      <c r="J90" s="117" t="s">
        <v>551</v>
      </c>
    </row>
    <row r="91" spans="1:10" x14ac:dyDescent="0.2">
      <c r="A91" s="76">
        <v>3</v>
      </c>
      <c r="B91" s="77">
        <v>45327</v>
      </c>
      <c r="C91" s="77">
        <v>45425</v>
      </c>
      <c r="D91" s="77" t="s">
        <v>283</v>
      </c>
      <c r="E91" s="35" t="s">
        <v>515</v>
      </c>
      <c r="F91" s="37">
        <v>45382</v>
      </c>
      <c r="G91" s="36">
        <v>0.85</v>
      </c>
      <c r="H91" s="35">
        <f>IF(YB_3[[#This Row],[Afrondingsdatum]]="N/A","-",YB_3[[#This Row],[Afrondingsdatum]]-YB_3[[#This Row],[StartDatum]])</f>
        <v>55</v>
      </c>
      <c r="I91" s="107" t="str">
        <f>IF(OR(YB_3[[#This Row],[Klas]]="FC2A",YB_3[[#This Row],[Klas]]="FC2C"),"A","B")</f>
        <v>B</v>
      </c>
      <c r="J91" s="118" t="s">
        <v>556</v>
      </c>
    </row>
    <row r="92" spans="1:10" x14ac:dyDescent="0.2">
      <c r="A92" s="80">
        <v>3</v>
      </c>
      <c r="B92" s="82">
        <v>45327</v>
      </c>
      <c r="C92" s="82">
        <v>45425</v>
      </c>
      <c r="D92" s="82" t="s">
        <v>283</v>
      </c>
      <c r="E92" s="81" t="s">
        <v>516</v>
      </c>
      <c r="F92" s="81" t="s">
        <v>7</v>
      </c>
      <c r="G92" s="81" t="s">
        <v>9</v>
      </c>
      <c r="H92" s="81" t="str">
        <f>IF(YB_3[[#This Row],[Afrondingsdatum]]="N/A","-",YB_3[[#This Row],[Afrondingsdatum]]-YB_3[[#This Row],[StartDatum]])</f>
        <v>-</v>
      </c>
      <c r="I92" s="106" t="str">
        <f>IF(OR(YB_3[[#This Row],[Klas]]="FC2A",YB_3[[#This Row],[Klas]]="FC2C"),"A","B")</f>
        <v>B</v>
      </c>
      <c r="J92" s="117" t="s">
        <v>555</v>
      </c>
    </row>
    <row r="93" spans="1:10" x14ac:dyDescent="0.2">
      <c r="A93" s="76">
        <v>3</v>
      </c>
      <c r="B93" s="77">
        <v>45327</v>
      </c>
      <c r="C93" s="77">
        <v>45425</v>
      </c>
      <c r="D93" s="77" t="s">
        <v>280</v>
      </c>
      <c r="E93" s="35" t="s">
        <v>517</v>
      </c>
      <c r="F93" s="37">
        <v>45378</v>
      </c>
      <c r="G93" s="36">
        <v>0.75</v>
      </c>
      <c r="H93" s="35">
        <f>IF(YB_3[[#This Row],[Afrondingsdatum]]="N/A","-",YB_3[[#This Row],[Afrondingsdatum]]-YB_3[[#This Row],[StartDatum]])</f>
        <v>51</v>
      </c>
      <c r="I93" s="107" t="str">
        <f>IF(OR(YB_3[[#This Row],[Klas]]="FC2A",YB_3[[#This Row],[Klas]]="FC2C"),"A","B")</f>
        <v>A</v>
      </c>
      <c r="J93" s="118" t="s">
        <v>552</v>
      </c>
    </row>
    <row r="94" spans="1:10" x14ac:dyDescent="0.2">
      <c r="A94" s="80">
        <v>3</v>
      </c>
      <c r="B94" s="82">
        <v>45327</v>
      </c>
      <c r="C94" s="82">
        <v>45425</v>
      </c>
      <c r="D94" s="82" t="s">
        <v>283</v>
      </c>
      <c r="E94" s="81" t="s">
        <v>518</v>
      </c>
      <c r="F94" s="85">
        <v>45391</v>
      </c>
      <c r="G94" s="86">
        <v>0.78</v>
      </c>
      <c r="H94" s="81">
        <f>IF(YB_3[[#This Row],[Afrondingsdatum]]="N/A","-",YB_3[[#This Row],[Afrondingsdatum]]-YB_3[[#This Row],[StartDatum]])</f>
        <v>64</v>
      </c>
      <c r="I94" s="106" t="str">
        <f>IF(OR(YB_3[[#This Row],[Klas]]="FC2A",YB_3[[#This Row],[Klas]]="FC2C"),"A","B")</f>
        <v>B</v>
      </c>
      <c r="J94" s="117" t="s">
        <v>560</v>
      </c>
    </row>
    <row r="95" spans="1:10" x14ac:dyDescent="0.2">
      <c r="A95" s="76">
        <v>3</v>
      </c>
      <c r="B95" s="77">
        <v>45327</v>
      </c>
      <c r="C95" s="77">
        <v>45425</v>
      </c>
      <c r="D95" s="77" t="s">
        <v>283</v>
      </c>
      <c r="E95" s="35" t="s">
        <v>519</v>
      </c>
      <c r="F95" s="37">
        <v>45396</v>
      </c>
      <c r="G95" s="36">
        <v>0.83</v>
      </c>
      <c r="H95" s="35">
        <f>IF(YB_3[[#This Row],[Afrondingsdatum]]="N/A","-",YB_3[[#This Row],[Afrondingsdatum]]-YB_3[[#This Row],[StartDatum]])</f>
        <v>69</v>
      </c>
      <c r="I95" s="107" t="str">
        <f>IF(OR(YB_3[[#This Row],[Klas]]="FC2A",YB_3[[#This Row],[Klas]]="FC2C"),"A","B")</f>
        <v>B</v>
      </c>
      <c r="J95" s="118" t="s">
        <v>555</v>
      </c>
    </row>
    <row r="96" spans="1:10" x14ac:dyDescent="0.2">
      <c r="A96" s="80">
        <v>3</v>
      </c>
      <c r="B96" s="82">
        <v>45327</v>
      </c>
      <c r="C96" s="82">
        <v>45425</v>
      </c>
      <c r="D96" s="82" t="s">
        <v>280</v>
      </c>
      <c r="E96" s="81" t="s">
        <v>520</v>
      </c>
      <c r="F96" s="81" t="s">
        <v>7</v>
      </c>
      <c r="G96" s="81" t="s">
        <v>9</v>
      </c>
      <c r="H96" s="81" t="str">
        <f>IF(YB_3[[#This Row],[Afrondingsdatum]]="N/A","-",YB_3[[#This Row],[Afrondingsdatum]]-YB_3[[#This Row],[StartDatum]])</f>
        <v>-</v>
      </c>
      <c r="I96" s="106" t="str">
        <f>IF(OR(YB_3[[#This Row],[Klas]]="FC2A",YB_3[[#This Row],[Klas]]="FC2C"),"A","B")</f>
        <v>A</v>
      </c>
      <c r="J96" s="117" t="s">
        <v>554</v>
      </c>
    </row>
    <row r="97" spans="1:10" x14ac:dyDescent="0.2">
      <c r="A97" s="76">
        <v>3</v>
      </c>
      <c r="B97" s="77">
        <v>45327</v>
      </c>
      <c r="C97" s="77">
        <v>45425</v>
      </c>
      <c r="D97" s="77" t="s">
        <v>280</v>
      </c>
      <c r="E97" s="35" t="s">
        <v>521</v>
      </c>
      <c r="F97" s="35" t="s">
        <v>7</v>
      </c>
      <c r="G97" s="35" t="s">
        <v>9</v>
      </c>
      <c r="H97" s="35" t="str">
        <f>IF(YB_3[[#This Row],[Afrondingsdatum]]="N/A","-",YB_3[[#This Row],[Afrondingsdatum]]-YB_3[[#This Row],[StartDatum]])</f>
        <v>-</v>
      </c>
      <c r="I97" s="107" t="str">
        <f>IF(OR(YB_3[[#This Row],[Klas]]="FC2A",YB_3[[#This Row],[Klas]]="FC2C"),"A","B")</f>
        <v>A</v>
      </c>
      <c r="J97" s="118" t="s">
        <v>554</v>
      </c>
    </row>
    <row r="98" spans="1:10" x14ac:dyDescent="0.2">
      <c r="A98" s="80">
        <v>3</v>
      </c>
      <c r="B98" s="82">
        <v>45327</v>
      </c>
      <c r="C98" s="82">
        <v>45425</v>
      </c>
      <c r="D98" s="82" t="s">
        <v>283</v>
      </c>
      <c r="E98" s="81" t="s">
        <v>522</v>
      </c>
      <c r="F98" s="85">
        <v>45380</v>
      </c>
      <c r="G98" s="86">
        <v>0.78</v>
      </c>
      <c r="H98" s="81">
        <f>IF(YB_3[[#This Row],[Afrondingsdatum]]="N/A","-",YB_3[[#This Row],[Afrondingsdatum]]-YB_3[[#This Row],[StartDatum]])</f>
        <v>53</v>
      </c>
      <c r="I98" s="106" t="str">
        <f>IF(OR(YB_3[[#This Row],[Klas]]="FC2A",YB_3[[#This Row],[Klas]]="FC2C"),"A","B")</f>
        <v>B</v>
      </c>
      <c r="J98" s="117" t="s">
        <v>561</v>
      </c>
    </row>
    <row r="99" spans="1:10" x14ac:dyDescent="0.2">
      <c r="A99" s="76">
        <v>3</v>
      </c>
      <c r="B99" s="77">
        <v>45327</v>
      </c>
      <c r="C99" s="77">
        <v>45425</v>
      </c>
      <c r="D99" s="77" t="s">
        <v>283</v>
      </c>
      <c r="E99" s="35" t="s">
        <v>523</v>
      </c>
      <c r="F99" s="37">
        <v>45348</v>
      </c>
      <c r="G99" s="36">
        <v>0.95</v>
      </c>
      <c r="H99" s="35">
        <f>IF(YB_3[[#This Row],[Afrondingsdatum]]="N/A","-",YB_3[[#This Row],[Afrondingsdatum]]-YB_3[[#This Row],[StartDatum]])</f>
        <v>21</v>
      </c>
      <c r="I99" s="107" t="str">
        <f>IF(OR(YB_3[[#This Row],[Klas]]="FC2A",YB_3[[#This Row],[Klas]]="FC2C"),"A","B")</f>
        <v>B</v>
      </c>
      <c r="J99" s="118" t="s">
        <v>557</v>
      </c>
    </row>
    <row r="100" spans="1:10" x14ac:dyDescent="0.2">
      <c r="A100" s="80">
        <v>3</v>
      </c>
      <c r="B100" s="82">
        <v>45327</v>
      </c>
      <c r="C100" s="82">
        <v>45425</v>
      </c>
      <c r="D100" s="82" t="s">
        <v>280</v>
      </c>
      <c r="E100" s="81" t="s">
        <v>478</v>
      </c>
      <c r="F100" s="81" t="s">
        <v>7</v>
      </c>
      <c r="G100" s="81" t="s">
        <v>9</v>
      </c>
      <c r="H100" s="81" t="str">
        <f>IF(YB_3[[#This Row],[Afrondingsdatum]]="N/A","-",YB_3[[#This Row],[Afrondingsdatum]]-YB_3[[#This Row],[StartDatum]])</f>
        <v>-</v>
      </c>
      <c r="I100" s="106" t="str">
        <f>IF(OR(YB_3[[#This Row],[Klas]]="FC2A",YB_3[[#This Row],[Klas]]="FC2C"),"A","B")</f>
        <v>A</v>
      </c>
      <c r="J100" s="117" t="s">
        <v>554</v>
      </c>
    </row>
    <row r="101" spans="1:10" x14ac:dyDescent="0.2">
      <c r="A101" s="76">
        <v>3</v>
      </c>
      <c r="B101" s="77">
        <v>45327</v>
      </c>
      <c r="C101" s="77">
        <v>45425</v>
      </c>
      <c r="D101" s="77" t="s">
        <v>283</v>
      </c>
      <c r="E101" s="35" t="s">
        <v>524</v>
      </c>
      <c r="F101" s="37">
        <v>45383</v>
      </c>
      <c r="G101" s="36">
        <v>0.75</v>
      </c>
      <c r="H101" s="35">
        <f>IF(YB_3[[#This Row],[Afrondingsdatum]]="N/A","-",YB_3[[#This Row],[Afrondingsdatum]]-YB_3[[#This Row],[StartDatum]])</f>
        <v>56</v>
      </c>
      <c r="I101" s="107" t="str">
        <f>IF(OR(YB_3[[#This Row],[Klas]]="FC2A",YB_3[[#This Row],[Klas]]="FC2C"),"A","B")</f>
        <v>B</v>
      </c>
      <c r="J101" s="118" t="s">
        <v>556</v>
      </c>
    </row>
    <row r="102" spans="1:10" x14ac:dyDescent="0.2">
      <c r="A102" s="80">
        <v>3</v>
      </c>
      <c r="B102" s="82">
        <v>45327</v>
      </c>
      <c r="C102" s="82">
        <v>45425</v>
      </c>
      <c r="D102" s="82" t="s">
        <v>280</v>
      </c>
      <c r="E102" s="81" t="s">
        <v>525</v>
      </c>
      <c r="F102" s="81" t="s">
        <v>7</v>
      </c>
      <c r="G102" s="81" t="s">
        <v>9</v>
      </c>
      <c r="H102" s="81" t="str">
        <f>IF(YB_3[[#This Row],[Afrondingsdatum]]="N/A","-",YB_3[[#This Row],[Afrondingsdatum]]-YB_3[[#This Row],[StartDatum]])</f>
        <v>-</v>
      </c>
      <c r="I102" s="106" t="str">
        <f>IF(OR(YB_3[[#This Row],[Klas]]="FC2A",YB_3[[#This Row],[Klas]]="FC2C"),"A","B")</f>
        <v>A</v>
      </c>
      <c r="J102" s="117" t="s">
        <v>551</v>
      </c>
    </row>
    <row r="103" spans="1:10" x14ac:dyDescent="0.2">
      <c r="A103" s="76">
        <v>3</v>
      </c>
      <c r="B103" s="77">
        <v>45327</v>
      </c>
      <c r="C103" s="77">
        <v>45425</v>
      </c>
      <c r="D103" s="77" t="s">
        <v>283</v>
      </c>
      <c r="E103" s="35" t="s">
        <v>526</v>
      </c>
      <c r="F103" s="37">
        <v>45377</v>
      </c>
      <c r="G103" s="36">
        <v>0.83</v>
      </c>
      <c r="H103" s="35">
        <f>IF(YB_3[[#This Row],[Afrondingsdatum]]="N/A","-",YB_3[[#This Row],[Afrondingsdatum]]-YB_3[[#This Row],[StartDatum]])</f>
        <v>50</v>
      </c>
      <c r="I103" s="107" t="str">
        <f>IF(OR(YB_3[[#This Row],[Klas]]="FC2A",YB_3[[#This Row],[Klas]]="FC2C"),"A","B")</f>
        <v>B</v>
      </c>
      <c r="J103" s="118" t="s">
        <v>556</v>
      </c>
    </row>
    <row r="104" spans="1:10" x14ac:dyDescent="0.2">
      <c r="A104" s="80">
        <v>3</v>
      </c>
      <c r="B104" s="82">
        <v>45327</v>
      </c>
      <c r="C104" s="82">
        <v>45425</v>
      </c>
      <c r="D104" s="82" t="s">
        <v>280</v>
      </c>
      <c r="E104" s="81" t="s">
        <v>527</v>
      </c>
      <c r="F104" s="85">
        <v>45392</v>
      </c>
      <c r="G104" s="86">
        <v>0.78</v>
      </c>
      <c r="H104" s="81">
        <f>IF(YB_3[[#This Row],[Afrondingsdatum]]="N/A","-",YB_3[[#This Row],[Afrondingsdatum]]-YB_3[[#This Row],[StartDatum]])</f>
        <v>65</v>
      </c>
      <c r="I104" s="106" t="str">
        <f>IF(OR(YB_3[[#This Row],[Klas]]="FC2A",YB_3[[#This Row],[Klas]]="FC2C"),"A","B")</f>
        <v>A</v>
      </c>
      <c r="J104" s="117" t="s">
        <v>552</v>
      </c>
    </row>
    <row r="105" spans="1:10" x14ac:dyDescent="0.2">
      <c r="A105" s="76">
        <v>3</v>
      </c>
      <c r="B105" s="77">
        <v>45327</v>
      </c>
      <c r="C105" s="77">
        <v>45425</v>
      </c>
      <c r="D105" s="77" t="s">
        <v>280</v>
      </c>
      <c r="E105" s="35" t="s">
        <v>528</v>
      </c>
      <c r="F105" s="35" t="s">
        <v>7</v>
      </c>
      <c r="G105" s="35" t="s">
        <v>9</v>
      </c>
      <c r="H105" s="35" t="str">
        <f>IF(YB_3[[#This Row],[Afrondingsdatum]]="N/A","-",YB_3[[#This Row],[Afrondingsdatum]]-YB_3[[#This Row],[StartDatum]])</f>
        <v>-</v>
      </c>
      <c r="I105" s="107" t="str">
        <f>IF(OR(YB_3[[#This Row],[Klas]]="FC2A",YB_3[[#This Row],[Klas]]="FC2C"),"A","B")</f>
        <v>A</v>
      </c>
      <c r="J105" s="118" t="s">
        <v>552</v>
      </c>
    </row>
    <row r="106" spans="1:10" x14ac:dyDescent="0.2">
      <c r="A106" s="80">
        <v>3</v>
      </c>
      <c r="B106" s="82">
        <v>45327</v>
      </c>
      <c r="C106" s="82">
        <v>45425</v>
      </c>
      <c r="D106" s="82" t="s">
        <v>283</v>
      </c>
      <c r="E106" s="81" t="s">
        <v>529</v>
      </c>
      <c r="F106" s="85">
        <v>45345</v>
      </c>
      <c r="G106" s="86">
        <v>0.98</v>
      </c>
      <c r="H106" s="81">
        <f>IF(YB_3[[#This Row],[Afrondingsdatum]]="N/A","-",YB_3[[#This Row],[Afrondingsdatum]]-YB_3[[#This Row],[StartDatum]])</f>
        <v>18</v>
      </c>
      <c r="I106" s="106" t="str">
        <f>IF(OR(YB_3[[#This Row],[Klas]]="FC2A",YB_3[[#This Row],[Klas]]="FC2C"),"A","B")</f>
        <v>B</v>
      </c>
      <c r="J106" s="117" t="s">
        <v>557</v>
      </c>
    </row>
    <row r="107" spans="1:10" x14ac:dyDescent="0.2">
      <c r="A107" s="76">
        <v>3</v>
      </c>
      <c r="B107" s="77">
        <v>45327</v>
      </c>
      <c r="C107" s="77">
        <v>45425</v>
      </c>
      <c r="D107" s="77" t="s">
        <v>283</v>
      </c>
      <c r="E107" s="35" t="s">
        <v>530</v>
      </c>
      <c r="F107" s="37">
        <v>45378</v>
      </c>
      <c r="G107" s="36">
        <v>0.73</v>
      </c>
      <c r="H107" s="35">
        <f>IF(YB_3[[#This Row],[Afrondingsdatum]]="N/A","-",YB_3[[#This Row],[Afrondingsdatum]]-YB_3[[#This Row],[StartDatum]])</f>
        <v>51</v>
      </c>
      <c r="I107" s="107" t="str">
        <f>IF(OR(YB_3[[#This Row],[Klas]]="FC2A",YB_3[[#This Row],[Klas]]="FC2C"),"A","B")</f>
        <v>B</v>
      </c>
      <c r="J107" s="118" t="s">
        <v>560</v>
      </c>
    </row>
    <row r="108" spans="1:10" x14ac:dyDescent="0.2">
      <c r="A108" s="80">
        <v>3</v>
      </c>
      <c r="B108" s="82">
        <v>45327</v>
      </c>
      <c r="C108" s="82">
        <v>45425</v>
      </c>
      <c r="D108" s="82" t="s">
        <v>280</v>
      </c>
      <c r="E108" s="81" t="s">
        <v>531</v>
      </c>
      <c r="F108" s="81" t="s">
        <v>7</v>
      </c>
      <c r="G108" s="81" t="s">
        <v>9</v>
      </c>
      <c r="H108" s="81" t="str">
        <f>IF(YB_3[[#This Row],[Afrondingsdatum]]="N/A","-",YB_3[[#This Row],[Afrondingsdatum]]-YB_3[[#This Row],[StartDatum]])</f>
        <v>-</v>
      </c>
      <c r="I108" s="106" t="str">
        <f>IF(OR(YB_3[[#This Row],[Klas]]="FC2A",YB_3[[#This Row],[Klas]]="FC2C"),"A","B")</f>
        <v>A</v>
      </c>
      <c r="J108" s="117" t="s">
        <v>553</v>
      </c>
    </row>
    <row r="109" spans="1:10" x14ac:dyDescent="0.2">
      <c r="A109" s="76">
        <v>3</v>
      </c>
      <c r="B109" s="77">
        <v>45327</v>
      </c>
      <c r="C109" s="77">
        <v>45425</v>
      </c>
      <c r="D109" s="77" t="s">
        <v>283</v>
      </c>
      <c r="E109" s="35" t="s">
        <v>532</v>
      </c>
      <c r="F109" s="37">
        <v>45384</v>
      </c>
      <c r="G109" s="36">
        <v>0.7</v>
      </c>
      <c r="H109" s="35">
        <f>IF(YB_3[[#This Row],[Afrondingsdatum]]="N/A","-",YB_3[[#This Row],[Afrondingsdatum]]-YB_3[[#This Row],[StartDatum]])</f>
        <v>57</v>
      </c>
      <c r="I109" s="107" t="str">
        <f>IF(OR(YB_3[[#This Row],[Klas]]="FC2A",YB_3[[#This Row],[Klas]]="FC2C"),"A","B")</f>
        <v>B</v>
      </c>
      <c r="J109" s="118" t="s">
        <v>558</v>
      </c>
    </row>
    <row r="110" spans="1:10" x14ac:dyDescent="0.2">
      <c r="A110" s="80">
        <v>3</v>
      </c>
      <c r="B110" s="82">
        <v>45327</v>
      </c>
      <c r="C110" s="82">
        <v>45425</v>
      </c>
      <c r="D110" s="82" t="s">
        <v>280</v>
      </c>
      <c r="E110" s="81" t="s">
        <v>533</v>
      </c>
      <c r="F110" s="81" t="s">
        <v>7</v>
      </c>
      <c r="G110" s="81" t="s">
        <v>9</v>
      </c>
      <c r="H110" s="81" t="str">
        <f>IF(YB_3[[#This Row],[Afrondingsdatum]]="N/A","-",YB_3[[#This Row],[Afrondingsdatum]]-YB_3[[#This Row],[StartDatum]])</f>
        <v>-</v>
      </c>
      <c r="I110" s="106" t="str">
        <f>IF(OR(YB_3[[#This Row],[Klas]]="FC2A",YB_3[[#This Row],[Klas]]="FC2C"),"A","B")</f>
        <v>A</v>
      </c>
      <c r="J110" s="121" t="s">
        <v>8</v>
      </c>
    </row>
    <row r="111" spans="1:10" x14ac:dyDescent="0.2">
      <c r="A111" s="76">
        <v>3</v>
      </c>
      <c r="B111" s="77">
        <v>45327</v>
      </c>
      <c r="C111" s="77">
        <v>45425</v>
      </c>
      <c r="D111" s="77" t="s">
        <v>283</v>
      </c>
      <c r="E111" s="35" t="s">
        <v>534</v>
      </c>
      <c r="F111" s="35" t="s">
        <v>7</v>
      </c>
      <c r="G111" s="35" t="s">
        <v>9</v>
      </c>
      <c r="H111" s="35" t="str">
        <f>IF(YB_3[[#This Row],[Afrondingsdatum]]="N/A","-",YB_3[[#This Row],[Afrondingsdatum]]-YB_3[[#This Row],[StartDatum]])</f>
        <v>-</v>
      </c>
      <c r="I111" s="107" t="str">
        <f>IF(OR(YB_3[[#This Row],[Klas]]="FC2A",YB_3[[#This Row],[Klas]]="FC2C"),"A","B")</f>
        <v>B</v>
      </c>
      <c r="J111" s="118" t="s">
        <v>559</v>
      </c>
    </row>
    <row r="112" spans="1:10" x14ac:dyDescent="0.2">
      <c r="A112" s="80">
        <v>3</v>
      </c>
      <c r="B112" s="82">
        <v>45327</v>
      </c>
      <c r="C112" s="82">
        <v>45425</v>
      </c>
      <c r="D112" s="82" t="s">
        <v>283</v>
      </c>
      <c r="E112" s="81" t="s">
        <v>535</v>
      </c>
      <c r="F112" s="85">
        <v>45389</v>
      </c>
      <c r="G112" s="86">
        <v>0.85</v>
      </c>
      <c r="H112" s="81">
        <f>IF(YB_3[[#This Row],[Afrondingsdatum]]="N/A","-",YB_3[[#This Row],[Afrondingsdatum]]-YB_3[[#This Row],[StartDatum]])</f>
        <v>62</v>
      </c>
      <c r="I112" s="106" t="str">
        <f>IF(OR(YB_3[[#This Row],[Klas]]="FC2A",YB_3[[#This Row],[Klas]]="FC2C"),"A","B")</f>
        <v>B</v>
      </c>
      <c r="J112" s="117" t="s">
        <v>555</v>
      </c>
    </row>
    <row r="113" spans="1:10" x14ac:dyDescent="0.2">
      <c r="A113" s="76">
        <v>3</v>
      </c>
      <c r="B113" s="77">
        <v>45327</v>
      </c>
      <c r="C113" s="77">
        <v>45425</v>
      </c>
      <c r="D113" s="77" t="s">
        <v>280</v>
      </c>
      <c r="E113" s="35" t="s">
        <v>536</v>
      </c>
      <c r="F113" s="37">
        <v>45368</v>
      </c>
      <c r="G113" s="36">
        <v>0.85</v>
      </c>
      <c r="H113" s="35">
        <f>IF(YB_3[[#This Row],[Afrondingsdatum]]="N/A","-",YB_3[[#This Row],[Afrondingsdatum]]-YB_3[[#This Row],[StartDatum]])</f>
        <v>41</v>
      </c>
      <c r="I113" s="107" t="str">
        <f>IF(OR(YB_3[[#This Row],[Klas]]="FC2A",YB_3[[#This Row],[Klas]]="FC2C"),"A","B")</f>
        <v>A</v>
      </c>
      <c r="J113" s="118" t="s">
        <v>553</v>
      </c>
    </row>
    <row r="114" spans="1:10" x14ac:dyDescent="0.2">
      <c r="A114" s="80">
        <v>3</v>
      </c>
      <c r="B114" s="82">
        <v>45327</v>
      </c>
      <c r="C114" s="82">
        <v>45425</v>
      </c>
      <c r="D114" s="82" t="s">
        <v>283</v>
      </c>
      <c r="E114" s="81" t="s">
        <v>537</v>
      </c>
      <c r="F114" s="85">
        <v>45383</v>
      </c>
      <c r="G114" s="86">
        <v>0.78</v>
      </c>
      <c r="H114" s="81">
        <f>IF(YB_3[[#This Row],[Afrondingsdatum]]="N/A","-",YB_3[[#This Row],[Afrondingsdatum]]-YB_3[[#This Row],[StartDatum]])</f>
        <v>56</v>
      </c>
      <c r="I114" s="106" t="str">
        <f>IF(OR(YB_3[[#This Row],[Klas]]="FC2A",YB_3[[#This Row],[Klas]]="FC2C"),"A","B")</f>
        <v>B</v>
      </c>
      <c r="J114" s="117" t="s">
        <v>561</v>
      </c>
    </row>
    <row r="115" spans="1:10" x14ac:dyDescent="0.2">
      <c r="A115" s="76">
        <v>3</v>
      </c>
      <c r="B115" s="77">
        <v>45327</v>
      </c>
      <c r="C115" s="77">
        <v>45425</v>
      </c>
      <c r="D115" s="77" t="s">
        <v>283</v>
      </c>
      <c r="E115" s="35" t="s">
        <v>538</v>
      </c>
      <c r="F115" s="37">
        <v>45375</v>
      </c>
      <c r="G115" s="36">
        <v>0.9</v>
      </c>
      <c r="H115" s="35">
        <f>IF(YB_3[[#This Row],[Afrondingsdatum]]="N/A","-",YB_3[[#This Row],[Afrondingsdatum]]-YB_3[[#This Row],[StartDatum]])</f>
        <v>48</v>
      </c>
      <c r="I115" s="107" t="str">
        <f>IF(OR(YB_3[[#This Row],[Klas]]="FC2A",YB_3[[#This Row],[Klas]]="FC2C"),"A","B")</f>
        <v>B</v>
      </c>
      <c r="J115" s="118" t="s">
        <v>559</v>
      </c>
    </row>
    <row r="116" spans="1:10" x14ac:dyDescent="0.2">
      <c r="A116" s="80">
        <v>3</v>
      </c>
      <c r="B116" s="82">
        <v>45327</v>
      </c>
      <c r="C116" s="82">
        <v>45425</v>
      </c>
      <c r="D116" s="82" t="s">
        <v>280</v>
      </c>
      <c r="E116" s="81" t="s">
        <v>539</v>
      </c>
      <c r="F116" s="81" t="s">
        <v>7</v>
      </c>
      <c r="G116" s="81" t="s">
        <v>9</v>
      </c>
      <c r="H116" s="81" t="str">
        <f>IF(YB_3[[#This Row],[Afrondingsdatum]]="N/A","-",YB_3[[#This Row],[Afrondingsdatum]]-YB_3[[#This Row],[StartDatum]])</f>
        <v>-</v>
      </c>
      <c r="I116" s="106" t="str">
        <f>IF(OR(YB_3[[#This Row],[Klas]]="FC2A",YB_3[[#This Row],[Klas]]="FC2C"),"A","B")</f>
        <v>A</v>
      </c>
      <c r="J116" s="117" t="s">
        <v>554</v>
      </c>
    </row>
    <row r="117" spans="1:10" x14ac:dyDescent="0.2">
      <c r="A117" s="22">
        <v>3</v>
      </c>
      <c r="B117" s="23">
        <v>45327</v>
      </c>
      <c r="C117" s="23">
        <v>45425</v>
      </c>
      <c r="D117" s="23" t="s">
        <v>283</v>
      </c>
      <c r="E117" s="25" t="s">
        <v>540</v>
      </c>
      <c r="F117" s="32">
        <v>45384</v>
      </c>
      <c r="G117" s="24">
        <v>0.75</v>
      </c>
      <c r="H117" s="25">
        <f>IF(YB_3[[#This Row],[Afrondingsdatum]]="N/A","-",YB_3[[#This Row],[Afrondingsdatum]]-YB_3[[#This Row],[StartDatum]])</f>
        <v>57</v>
      </c>
      <c r="I117" s="109" t="str">
        <f>IF(OR(YB_3[[#This Row],[Klas]]="FC2A",YB_3[[#This Row],[Klas]]="FC2C"),"A","B")</f>
        <v>B</v>
      </c>
      <c r="J117" s="120" t="s">
        <v>558</v>
      </c>
    </row>
    <row r="118" spans="1:10" x14ac:dyDescent="0.2">
      <c r="A118" s="9"/>
      <c r="B118" s="9"/>
      <c r="C118" s="9"/>
      <c r="D118" s="9"/>
      <c r="E118" s="9"/>
      <c r="F118" s="9"/>
      <c r="G118" s="9"/>
      <c r="H118" s="9"/>
      <c r="I118" s="100"/>
    </row>
    <row r="119" spans="1:10" x14ac:dyDescent="0.2">
      <c r="A119" t="s">
        <v>541</v>
      </c>
      <c r="B119">
        <v>13</v>
      </c>
    </row>
    <row r="121" spans="1:10" x14ac:dyDescent="0.2">
      <c r="A121" t="s">
        <v>277</v>
      </c>
      <c r="B121" s="4" t="s">
        <v>377</v>
      </c>
      <c r="C121" s="4" t="s">
        <v>427</v>
      </c>
      <c r="D121" s="4" t="s">
        <v>428</v>
      </c>
      <c r="E121" s="4" t="s">
        <v>548</v>
      </c>
      <c r="F121" s="4" t="s">
        <v>542</v>
      </c>
      <c r="G121" s="4" t="s">
        <v>543</v>
      </c>
      <c r="H121" s="4" t="s">
        <v>547</v>
      </c>
      <c r="I121" s="4" t="s">
        <v>418</v>
      </c>
      <c r="J121" s="4" t="s">
        <v>426</v>
      </c>
    </row>
    <row r="122" spans="1:10" x14ac:dyDescent="0.2">
      <c r="A122" t="s">
        <v>362</v>
      </c>
      <c r="B122">
        <f>COUNTIF(YB_3[Klas],"="&amp;A122)</f>
        <v>21</v>
      </c>
      <c r="C122">
        <f>COUNTIFS(YB_3[Klas],"="&amp;A122,YB_3[Afrondingsdatum],"&lt;&gt;N/A")</f>
        <v>14</v>
      </c>
      <c r="D122">
        <f>COUNTIFS(YB_3[Klas],"="&amp;A122,YB_3[Afrondingsdatum],"=N/A")</f>
        <v>7</v>
      </c>
      <c r="E122" s="67">
        <f>C122/B122</f>
        <v>0.66666666666666663</v>
      </c>
      <c r="F122" s="72" cm="1">
        <f t="array" ref="F122">MIN(_xlfn._xlws.FILTER(YB_3[TakTijd],YB_3[Klas]=A122))</f>
        <v>41</v>
      </c>
      <c r="G122" s="72" cm="1">
        <f t="array" ref="G122">MAX(_xlfn._xlws.FILTER(YB_3[TakTijd],YB_3[Klas]=A122))</f>
        <v>73</v>
      </c>
      <c r="H122" s="72">
        <f>G122-F122</f>
        <v>32</v>
      </c>
      <c r="I122" s="71" cm="1">
        <f t="array" ref="I122">AVERAGE(_xlfn._xlws.FILTER(YB_3[TakTijd],YB_3[Klas]=A122))</f>
        <v>61.571428571428569</v>
      </c>
      <c r="J122" s="71" cm="1">
        <f t="array" ref="J122">_xlfn.STDEV.S(_xlfn._xlws.FILTER(YB_3[TakTijd],YB_3[Klas]=A122))</f>
        <v>8.4645349339672364</v>
      </c>
    </row>
    <row r="123" spans="1:10" x14ac:dyDescent="0.2">
      <c r="A123" t="s">
        <v>363</v>
      </c>
      <c r="B123">
        <f>COUNTIF(YB_3[Klas],"="&amp;A123)</f>
        <v>25</v>
      </c>
      <c r="C123">
        <f>COUNTIFS(YB_3[Klas],"="&amp;A123,YB_3[Afrondingsdatum],"&lt;&gt;N/A")</f>
        <v>22</v>
      </c>
      <c r="D123">
        <f>COUNTIFS(YB_3[Klas],"="&amp;A123,YB_3[Afrondingsdatum],"=N/A")</f>
        <v>3</v>
      </c>
      <c r="E123" s="67">
        <f>C123/B123</f>
        <v>0.88</v>
      </c>
      <c r="F123" s="72" cm="1">
        <f t="array" ref="F123">MIN(_xlfn._xlws.FILTER(YB_3[TakTijd],YB_3[Klas]=A123))</f>
        <v>24</v>
      </c>
      <c r="G123" s="72" cm="1">
        <f t="array" ref="G123">MAX(_xlfn._xlws.FILTER(YB_3[TakTijd],YB_3[Klas]=A123))</f>
        <v>58</v>
      </c>
      <c r="H123" s="72">
        <f>G123-F123</f>
        <v>34</v>
      </c>
      <c r="I123" s="71" cm="1">
        <f t="array" ref="I123">AVERAGE(_xlfn._xlws.FILTER(YB_3[TakTijd],YB_3[Klas]=A123))</f>
        <v>49.545454545454547</v>
      </c>
      <c r="J123" s="71" cm="1">
        <f t="array" ref="J123">_xlfn.STDEV.S(_xlfn._xlws.FILTER(YB_3[TakTijd],YB_3[Klas]=A123))</f>
        <v>9.379446997239544</v>
      </c>
    </row>
    <row r="124" spans="1:10" x14ac:dyDescent="0.2">
      <c r="A124" t="s">
        <v>364</v>
      </c>
      <c r="B124">
        <f>COUNTIF(YB_3[Klas],"="&amp;A124)</f>
        <v>29</v>
      </c>
      <c r="C124">
        <f>COUNTIFS(YB_3[Klas],"="&amp;A124,YB_3[Afrondingsdatum],"&lt;&gt;N/A")</f>
        <v>26</v>
      </c>
      <c r="D124">
        <f>COUNTIFS(YB_3[Klas],"="&amp;A124,YB_3[Afrondingsdatum],"=N/A")</f>
        <v>3</v>
      </c>
      <c r="E124" s="67">
        <f>C124/B124</f>
        <v>0.89655172413793105</v>
      </c>
      <c r="F124" s="72" cm="1">
        <f t="array" ref="F124">MIN(_xlfn._xlws.FILTER(YB_3[TakTijd],YB_3[Klas]=A124))</f>
        <v>36</v>
      </c>
      <c r="G124" s="72" cm="1">
        <f t="array" ref="G124">MAX(_xlfn._xlws.FILTER(YB_3[TakTijd],YB_3[Klas]=A124))</f>
        <v>80</v>
      </c>
      <c r="H124" s="72">
        <f>G124-F124</f>
        <v>44</v>
      </c>
      <c r="I124" s="71" cm="1">
        <f t="array" ref="I124">AVERAGE(_xlfn._xlws.FILTER(YB_3[TakTijd],YB_3[Klas]=A124))</f>
        <v>57.153846153846153</v>
      </c>
      <c r="J124" s="71" cm="1">
        <f t="array" ref="J124">_xlfn.STDEV.S(_xlfn._xlws.FILTER(YB_3[TakTijd],YB_3[Klas]=A124))</f>
        <v>12.095262899804386</v>
      </c>
    </row>
    <row r="125" spans="1:10" x14ac:dyDescent="0.2">
      <c r="A125" t="s">
        <v>280</v>
      </c>
      <c r="B125">
        <f>COUNTIF(YB_3[Klas],"="&amp;A125)</f>
        <v>16</v>
      </c>
      <c r="C125">
        <f>COUNTIFS(YB_3[Klas],"="&amp;A125,YB_3[Afrondingsdatum],"&lt;&gt;N/A")</f>
        <v>6</v>
      </c>
      <c r="D125">
        <f>COUNTIFS(YB_3[Klas],"="&amp;A125,YB_3[Afrondingsdatum],"=N/A")</f>
        <v>10</v>
      </c>
      <c r="E125" s="67">
        <f>C125/B125</f>
        <v>0.375</v>
      </c>
      <c r="F125" s="72" cm="1">
        <f t="array" ref="F125">MIN(_xlfn._xlws.FILTER(YB_3[TakTijd],YB_3[Klas]=A125))</f>
        <v>41</v>
      </c>
      <c r="G125" s="72" cm="1">
        <f t="array" ref="G125">MAX(_xlfn._xlws.FILTER(YB_3[TakTijd],YB_3[Klas]=A125))</f>
        <v>65</v>
      </c>
      <c r="H125" s="72">
        <f>G125-F125</f>
        <v>24</v>
      </c>
      <c r="I125" s="71" cm="1">
        <f t="array" ref="I125">AVERAGE(_xlfn._xlws.FILTER(YB_3[TakTijd],YB_3[Klas]=A125))</f>
        <v>50.833333333333336</v>
      </c>
      <c r="J125" s="71" cm="1">
        <f t="array" ref="J125">_xlfn.STDEV.S(_xlfn._xlws.FILTER(YB_3[TakTijd],YB_3[Klas]=A125))</f>
        <v>8.6120071218425487</v>
      </c>
    </row>
    <row r="126" spans="1:10" x14ac:dyDescent="0.2">
      <c r="A126" t="s">
        <v>283</v>
      </c>
      <c r="B126" s="52">
        <f>COUNTIF(YB_3[Klas],"="&amp;A126)</f>
        <v>25</v>
      </c>
      <c r="C126" s="52">
        <f>COUNTIFS(YB_3[Klas],"="&amp;A126,YB_3[Afrondingsdatum],"&lt;&gt;N/A")</f>
        <v>23</v>
      </c>
      <c r="D126" s="52">
        <f>COUNTIFS(YB_3[Klas],"="&amp;A126,YB_3[Afrondingsdatum],"=N/A")</f>
        <v>2</v>
      </c>
      <c r="E126" s="114">
        <f>C126/B126</f>
        <v>0.92</v>
      </c>
      <c r="F126" s="105" cm="1">
        <f t="array" ref="F126">MIN(_xlfn._xlws.FILTER(YB_3[TakTijd],YB_3[Klas]=A126))</f>
        <v>18</v>
      </c>
      <c r="G126" s="105" cm="1">
        <f t="array" ref="G126">MAX(_xlfn._xlws.FILTER(YB_3[TakTijd],YB_3[Klas]=A126))</f>
        <v>70</v>
      </c>
      <c r="H126" s="105">
        <f>G126-F126</f>
        <v>52</v>
      </c>
      <c r="I126" s="99" cm="1">
        <f t="array" ref="I126">AVERAGE(_xlfn._xlws.FILTER(YB_3[TakTijd],YB_3[Klas]=A126))</f>
        <v>50.652173913043477</v>
      </c>
      <c r="J126" s="99" cm="1">
        <f t="array" ref="J126">_xlfn.STDEV.S(_xlfn._xlws.FILTER(YB_3[TakTijd],YB_3[Klas]=A126))</f>
        <v>15.331514470800961</v>
      </c>
    </row>
    <row r="127" spans="1:10" x14ac:dyDescent="0.2">
      <c r="B127">
        <f>SUM(B122:B126)</f>
        <v>116</v>
      </c>
      <c r="C127">
        <f>COUNTIF(YB_3[Afrondingsdatum],"&lt;&gt;N/A")</f>
        <v>91</v>
      </c>
      <c r="D127">
        <f>COUNTIFS(YB_3[Afrondingsdatum],"=N/A")</f>
        <v>25</v>
      </c>
      <c r="E127" s="67">
        <f>C127/B127</f>
        <v>0.78448275862068961</v>
      </c>
      <c r="F127" s="72">
        <f>MIN(YB_3[TakTijd])</f>
        <v>18</v>
      </c>
      <c r="G127" s="72">
        <f>MAX(YB_3[TakTijd])</f>
        <v>80</v>
      </c>
      <c r="H127" s="72">
        <f>G127-F127</f>
        <v>62</v>
      </c>
      <c r="I127" s="71">
        <f>AVERAGE(YB_3[TakTijd])</f>
        <v>53.934065934065934</v>
      </c>
      <c r="J127" s="71">
        <f>_xlfn.STDEV.S(YB_3[TakTijd])</f>
        <v>12.379914016755977</v>
      </c>
    </row>
    <row r="128" spans="1:10" x14ac:dyDescent="0.2">
      <c r="F128" s="72"/>
    </row>
    <row r="129" spans="1:10" x14ac:dyDescent="0.2">
      <c r="A129" t="s">
        <v>279</v>
      </c>
      <c r="B129" s="4" t="s">
        <v>377</v>
      </c>
      <c r="C129" s="4" t="s">
        <v>427</v>
      </c>
      <c r="D129" s="4" t="s">
        <v>428</v>
      </c>
      <c r="E129" s="4" t="s">
        <v>548</v>
      </c>
      <c r="F129" s="4" t="s">
        <v>542</v>
      </c>
      <c r="G129" s="4" t="s">
        <v>543</v>
      </c>
      <c r="H129" s="4" t="s">
        <v>547</v>
      </c>
      <c r="I129" s="4" t="s">
        <v>418</v>
      </c>
      <c r="J129" s="4" t="s">
        <v>426</v>
      </c>
    </row>
    <row r="130" spans="1:10" x14ac:dyDescent="0.2">
      <c r="A130" s="2">
        <v>1</v>
      </c>
      <c r="B130">
        <f>COUNTIF(YB_3[Blok],"="&amp;A130)</f>
        <v>75</v>
      </c>
      <c r="C130">
        <f>COUNTIFS(YB_3[Blok],"="&amp;A130,YB_3[Afrondingsdatum],"&lt;&gt;N/A")</f>
        <v>62</v>
      </c>
      <c r="D130">
        <f>COUNTIFS(YB_3[Blok],"="&amp;A130,YB_3[Afrondingsdatum],"=N/A")</f>
        <v>13</v>
      </c>
      <c r="E130" s="67">
        <f>C130/B130</f>
        <v>0.82666666666666666</v>
      </c>
      <c r="F130" s="72" cm="1">
        <f t="array" ref="F130">MIN(_xlfn._xlws.FILTER(YB_3[TakTijd],YB_3[Blok]=A130))</f>
        <v>24</v>
      </c>
      <c r="G130" s="72" cm="1">
        <f t="array" ref="G130">MAX(_xlfn._xlws.FILTER(YB_3[TakTijd],YB_3[Blok]=A130))</f>
        <v>80</v>
      </c>
      <c r="H130" s="72">
        <f>G130-F130</f>
        <v>56</v>
      </c>
      <c r="I130" s="71" cm="1">
        <f t="array" ref="I130">AVERAGE(_xlfn._xlws.FILTER(YB_3[TakTijd],YB_3[Blok]=A130))</f>
        <v>55.451612903225808</v>
      </c>
      <c r="J130" s="71" cm="1">
        <f t="array" ref="J130">_xlfn.STDEV.S(_xlfn._xlws.FILTER(YB_3[TakTijd],YB_3[Blok]=A130))</f>
        <v>11.310342603781399</v>
      </c>
    </row>
    <row r="131" spans="1:10" x14ac:dyDescent="0.2">
      <c r="A131" s="2">
        <v>3</v>
      </c>
      <c r="B131" s="52">
        <f>COUNTIF(YB_3[Blok],"="&amp;A131)</f>
        <v>41</v>
      </c>
      <c r="C131" s="52">
        <f>COUNTIFS(YB_3[Blok],"="&amp;A131,YB_3[Afrondingsdatum],"&lt;&gt;N/A")</f>
        <v>29</v>
      </c>
      <c r="D131" s="52">
        <f>COUNTIFS(YB_3[Blok],"="&amp;A131,YB_3[Afrondingsdatum],"=N/A")</f>
        <v>12</v>
      </c>
      <c r="E131" s="114">
        <f>C131/B131</f>
        <v>0.70731707317073167</v>
      </c>
      <c r="F131" s="105" cm="1">
        <f t="array" ref="F131">MIN(_xlfn._xlws.FILTER(YB_3[TakTijd],YB_3[Blok]=A131))</f>
        <v>18</v>
      </c>
      <c r="G131" s="105" cm="1">
        <f t="array" ref="G131">MAX(_xlfn._xlws.FILTER(YB_3[TakTijd],YB_3[Blok]=A131))</f>
        <v>70</v>
      </c>
      <c r="H131" s="105">
        <f>G131-F131</f>
        <v>52</v>
      </c>
      <c r="I131" s="99" cm="1">
        <f t="array" ref="I131">AVERAGE(_xlfn._xlws.FILTER(YB_3[TakTijd],YB_3[Blok]=A131))</f>
        <v>50.689655172413794</v>
      </c>
      <c r="J131" s="99" cm="1">
        <f t="array" ref="J131">_xlfn.STDEV.S(_xlfn._xlws.FILTER(YB_3[TakTijd],YB_3[Blok]=A131))</f>
        <v>14.068971554137603</v>
      </c>
    </row>
    <row r="132" spans="1:10" x14ac:dyDescent="0.2">
      <c r="B132">
        <f>SUM(B130:B131)</f>
        <v>116</v>
      </c>
      <c r="C132">
        <f t="shared" ref="C132:D132" si="0">SUM(C130:C131)</f>
        <v>91</v>
      </c>
      <c r="D132">
        <f t="shared" si="0"/>
        <v>25</v>
      </c>
      <c r="E132" s="115">
        <f>C132/B132</f>
        <v>0.78448275862068961</v>
      </c>
      <c r="F132" s="72">
        <f>MIN(YB_3[TakTijd])</f>
        <v>18</v>
      </c>
      <c r="G132" s="72">
        <f>MAX(YB_3[TakTijd])</f>
        <v>80</v>
      </c>
      <c r="H132" s="72">
        <f>G132-F132</f>
        <v>62</v>
      </c>
      <c r="I132" s="71">
        <f>AVERAGE(YB_3[TakTijd])</f>
        <v>53.934065934065934</v>
      </c>
      <c r="J132" s="71">
        <f>_xlfn.STDEV.S(YB_3[TakTijd])</f>
        <v>12.379914016755977</v>
      </c>
    </row>
    <row r="134" spans="1:10" x14ac:dyDescent="0.2">
      <c r="A134" t="s">
        <v>544</v>
      </c>
      <c r="B134" s="4" t="s">
        <v>377</v>
      </c>
      <c r="C134" s="4" t="s">
        <v>427</v>
      </c>
      <c r="D134" s="4" t="s">
        <v>428</v>
      </c>
      <c r="E134" s="4" t="s">
        <v>548</v>
      </c>
      <c r="F134" s="4" t="s">
        <v>542</v>
      </c>
      <c r="G134" s="4" t="s">
        <v>543</v>
      </c>
      <c r="H134" s="4" t="s">
        <v>547</v>
      </c>
      <c r="I134" s="4" t="s">
        <v>418</v>
      </c>
      <c r="J134" s="4" t="s">
        <v>426</v>
      </c>
    </row>
    <row r="135" spans="1:10" x14ac:dyDescent="0.2">
      <c r="A135" t="s">
        <v>399</v>
      </c>
      <c r="B135" s="111">
        <f>COUNTIF(YB_3[Docent],"="&amp;A135)</f>
        <v>37</v>
      </c>
      <c r="C135" s="111">
        <f>COUNTIFS(YB_3[Docent],"="&amp;A135,YB_3[Afrondingsdatum],"&lt;&gt;N/A")</f>
        <v>20</v>
      </c>
      <c r="D135" s="111">
        <f>COUNTIFS(YB_3[Docent],"="&amp;A135,YB_3[Afrondingsdatum],"=N/A")</f>
        <v>17</v>
      </c>
      <c r="E135" s="67">
        <f>C135/B135</f>
        <v>0.54054054054054057</v>
      </c>
      <c r="F135" s="112" cm="1">
        <f t="array" ref="F135">MIN(_xlfn._xlws.FILTER(YB_3[TakTijd],YB_3[Docent]=A135))</f>
        <v>41</v>
      </c>
      <c r="G135" s="112" cm="1">
        <f t="array" ref="G135">MAX(_xlfn._xlws.FILTER(YB_3[TakTijd],YB_3[Docent]=A135))</f>
        <v>73</v>
      </c>
      <c r="H135" s="72">
        <f>G135-F135</f>
        <v>32</v>
      </c>
      <c r="I135" s="113" cm="1">
        <f t="array" ref="I135">AVERAGE(_xlfn._xlws.FILTER(YB_3[TakTijd],YB_3[Docent]=A135))</f>
        <v>58.35</v>
      </c>
      <c r="J135" s="113" cm="1">
        <f t="array" ref="J135">_xlfn.STDEV.S(_xlfn._xlws.FILTER(YB_3[TakTijd],YB_3[Docent]=A135))</f>
        <v>9.6968524464602019</v>
      </c>
    </row>
    <row r="136" spans="1:10" x14ac:dyDescent="0.2">
      <c r="A136" t="s">
        <v>545</v>
      </c>
      <c r="B136" s="52">
        <f>COUNTIF(YB_3[Docent],"="&amp;A136)</f>
        <v>79</v>
      </c>
      <c r="C136" s="52">
        <f>COUNTIFS(YB_3[Docent],"="&amp;A136,YB_3[Afrondingsdatum],"&lt;&gt;N/A")</f>
        <v>71</v>
      </c>
      <c r="D136" s="52">
        <f>COUNTIFS(YB_3[Docent],"="&amp;A136,YB_3[Afrondingsdatum],"=N/A")</f>
        <v>8</v>
      </c>
      <c r="E136" s="114">
        <f>C136/B136</f>
        <v>0.89873417721518989</v>
      </c>
      <c r="F136" s="105" cm="1">
        <f t="array" ref="F136">MIN(_xlfn._xlws.FILTER(YB_3[TakTijd],YB_3[Docent]=A136))</f>
        <v>18</v>
      </c>
      <c r="G136" s="105" cm="1">
        <f t="array" ref="G136">MAX(_xlfn._xlws.FILTER(YB_3[TakTijd],YB_3[Docent]=A136))</f>
        <v>80</v>
      </c>
      <c r="H136" s="105">
        <f>G136-F136</f>
        <v>62</v>
      </c>
      <c r="I136" s="99" cm="1">
        <f t="array" ref="I136">AVERAGE(_xlfn._xlws.FILTER(YB_3[TakTijd],YB_3[Docent]=A136))</f>
        <v>52.690140845070424</v>
      </c>
      <c r="J136" s="99" cm="1">
        <f t="array" ref="J136">_xlfn.STDEV.S(_xlfn._xlws.FILTER(YB_3[TakTijd],YB_3[Docent]=A136))</f>
        <v>12.821401248688819</v>
      </c>
    </row>
    <row r="137" spans="1:10" x14ac:dyDescent="0.2">
      <c r="B137">
        <f>SUM(B135:B136)</f>
        <v>116</v>
      </c>
      <c r="C137">
        <f t="shared" ref="C137" si="1">SUM(C135:C136)</f>
        <v>91</v>
      </c>
      <c r="D137">
        <f t="shared" ref="D137" si="2">SUM(D135:D136)</f>
        <v>25</v>
      </c>
      <c r="E137" s="67">
        <f>C137/B137</f>
        <v>0.78448275862068961</v>
      </c>
      <c r="F137" s="72">
        <f>MIN(YB_3[TakTijd])</f>
        <v>18</v>
      </c>
      <c r="G137" s="72">
        <f>MAX(YB_3[TakTijd])</f>
        <v>80</v>
      </c>
      <c r="H137" s="72">
        <f>G137-F137</f>
        <v>62</v>
      </c>
      <c r="I137" s="71">
        <f>AVERAGE(YB_3[TakTijd])</f>
        <v>53.934065934065934</v>
      </c>
      <c r="J137" s="71">
        <f>_xlfn.STDEV.S(YB_3[TakTijd])</f>
        <v>12.379914016755977</v>
      </c>
    </row>
    <row r="139" spans="1:10" x14ac:dyDescent="0.2">
      <c r="A139" t="s">
        <v>550</v>
      </c>
      <c r="B139" s="4" t="s">
        <v>377</v>
      </c>
      <c r="C139" s="4" t="s">
        <v>427</v>
      </c>
      <c r="D139" s="4" t="s">
        <v>428</v>
      </c>
      <c r="E139" s="4" t="s">
        <v>548</v>
      </c>
      <c r="F139" s="4" t="s">
        <v>542</v>
      </c>
      <c r="G139" s="4" t="s">
        <v>543</v>
      </c>
      <c r="H139" s="4" t="s">
        <v>547</v>
      </c>
      <c r="I139" s="4" t="s">
        <v>418</v>
      </c>
      <c r="J139" s="4" t="s">
        <v>426</v>
      </c>
    </row>
    <row r="140" spans="1:10" x14ac:dyDescent="0.2">
      <c r="A140" s="44" t="s">
        <v>8</v>
      </c>
      <c r="B140" s="111">
        <f>COUNTIF(YB_3[Groep],"="&amp;A140)</f>
        <v>3</v>
      </c>
      <c r="C140" s="111">
        <f>COUNTIFS(YB_3[Groep],"="&amp;A140,YB_3[Afrondingsdatum],"&lt;&gt;N/A")</f>
        <v>2</v>
      </c>
      <c r="D140" s="111">
        <f>COUNTIFS(YB_3[Groep],"="&amp;A140,YB_3[Afrondingsdatum],"=N/A")</f>
        <v>1</v>
      </c>
      <c r="E140" s="67">
        <f>C140/B140</f>
        <v>0.66666666666666663</v>
      </c>
      <c r="F140" s="112" cm="1">
        <f t="array" ref="F140">MIN(_xlfn._xlws.FILTER(YB_3[TakTijd],YB_3[Groep]=A140))</f>
        <v>24</v>
      </c>
      <c r="G140" s="112" cm="1">
        <f t="array" ref="G140">MAX(_xlfn._xlws.FILTER(YB_3[TakTijd],YB_3[Groep]=A140))</f>
        <v>55</v>
      </c>
      <c r="H140" s="72">
        <f>G140-F140</f>
        <v>31</v>
      </c>
      <c r="I140" s="116" cm="1">
        <f t="array" ref="I140">IF(C140=0,"-",AVERAGE(_xlfn._xlws.FILTER(YB_3[TakTijd],YB_3[Groep]=A140)))</f>
        <v>39.5</v>
      </c>
      <c r="J140" s="116" cm="1">
        <f t="array" ref="J140">IF(C140=0,"-",_xlfn.STDEV.S(_xlfn._xlws.FILTER(YB_3[TakTijd],YB_3[Groep]=A140)))</f>
        <v>21.920310216782973</v>
      </c>
    </row>
    <row r="141" spans="1:10" x14ac:dyDescent="0.2">
      <c r="A141" s="44" t="s">
        <v>570</v>
      </c>
      <c r="B141" s="111">
        <f>COUNTIF(YB_3[Groep],"="&amp;A141)</f>
        <v>2</v>
      </c>
      <c r="C141" s="111">
        <f>COUNTIFS(YB_3[Groep],"="&amp;A141,YB_3[Afrondingsdatum],"&lt;&gt;N/A")</f>
        <v>2</v>
      </c>
      <c r="D141" s="111">
        <f>COUNTIFS(YB_3[Groep],"="&amp;A141,YB_3[Afrondingsdatum],"=N/A")</f>
        <v>0</v>
      </c>
      <c r="E141" s="67">
        <f>C141/B141</f>
        <v>1</v>
      </c>
      <c r="F141" s="112" cm="1">
        <f t="array" ref="F141">MIN(_xlfn._xlws.FILTER(YB_3[TakTijd],YB_3[Groep]=A141))</f>
        <v>49</v>
      </c>
      <c r="G141" s="112" cm="1">
        <f t="array" ref="G141">MAX(_xlfn._xlws.FILTER(YB_3[TakTijd],YB_3[Groep]=A141))</f>
        <v>73</v>
      </c>
      <c r="H141" s="72">
        <f>G141-F141</f>
        <v>24</v>
      </c>
      <c r="I141" s="116" cm="1">
        <f t="array" ref="I141">IF(C141=0,"-",AVERAGE(_xlfn._xlws.FILTER(YB_3[TakTijd],YB_3[Groep]=A141)))</f>
        <v>61</v>
      </c>
      <c r="J141" s="116" cm="1">
        <f t="array" ref="J141">IF(C141=0,"-",_xlfn.STDEV.S(_xlfn._xlws.FILTER(YB_3[TakTijd],YB_3[Groep]=A141)))</f>
        <v>16.970562748477139</v>
      </c>
    </row>
    <row r="142" spans="1:10" x14ac:dyDescent="0.2">
      <c r="A142" s="44" t="s">
        <v>571</v>
      </c>
      <c r="B142" s="111">
        <f>COUNTIF(YB_3[Groep],"="&amp;A142)</f>
        <v>4</v>
      </c>
      <c r="C142" s="111">
        <f>COUNTIFS(YB_3[Groep],"="&amp;A142,YB_3[Afrondingsdatum],"&lt;&gt;N/A")</f>
        <v>2</v>
      </c>
      <c r="D142" s="111">
        <f>COUNTIFS(YB_3[Groep],"="&amp;A142,YB_3[Afrondingsdatum],"=N/A")</f>
        <v>2</v>
      </c>
      <c r="E142" s="67">
        <f>C142/B142</f>
        <v>0.5</v>
      </c>
      <c r="F142" s="112" cm="1">
        <f t="array" ref="F142">MIN(_xlfn._xlws.FILTER(YB_3[TakTijd],YB_3[Groep]=A142))</f>
        <v>53</v>
      </c>
      <c r="G142" s="112" cm="1">
        <f t="array" ref="G142">MAX(_xlfn._xlws.FILTER(YB_3[TakTijd],YB_3[Groep]=A142))</f>
        <v>65</v>
      </c>
      <c r="H142" s="72">
        <f>G142-F142</f>
        <v>12</v>
      </c>
      <c r="I142" s="116" cm="1">
        <f t="array" ref="I142">IF(C142=0,"-",AVERAGE(_xlfn._xlws.FILTER(YB_3[TakTijd],YB_3[Groep]=A142)))</f>
        <v>59</v>
      </c>
      <c r="J142" s="116" cm="1">
        <f t="array" ref="J142">IF(C142=0,"-",_xlfn.STDEV.S(_xlfn._xlws.FILTER(YB_3[TakTijd],YB_3[Groep]=A142)))</f>
        <v>8.4852813742385695</v>
      </c>
    </row>
    <row r="143" spans="1:10" x14ac:dyDescent="0.2">
      <c r="A143" s="44" t="s">
        <v>572</v>
      </c>
      <c r="B143" s="111">
        <f>COUNTIF(YB_3[Groep],"="&amp;A143)</f>
        <v>3</v>
      </c>
      <c r="C143" s="111">
        <f>COUNTIFS(YB_3[Groep],"="&amp;A143,YB_3[Afrondingsdatum],"&lt;&gt;N/A")</f>
        <v>3</v>
      </c>
      <c r="D143" s="111">
        <f>COUNTIFS(YB_3[Groep],"="&amp;A143,YB_3[Afrondingsdatum],"=N/A")</f>
        <v>0</v>
      </c>
      <c r="E143" s="67">
        <f>C143/B143</f>
        <v>1</v>
      </c>
      <c r="F143" s="112" cm="1">
        <f t="array" ref="F143">MIN(_xlfn._xlws.FILTER(YB_3[TakTijd],YB_3[Groep]=A143))</f>
        <v>65</v>
      </c>
      <c r="G143" s="112" cm="1">
        <f t="array" ref="G143">MAX(_xlfn._xlws.FILTER(YB_3[TakTijd],YB_3[Groep]=A143))</f>
        <v>66</v>
      </c>
      <c r="H143" s="72">
        <f>G143-F143</f>
        <v>1</v>
      </c>
      <c r="I143" s="116" cm="1">
        <f t="array" ref="I143">IF(C143=0,"-",AVERAGE(_xlfn._xlws.FILTER(YB_3[TakTijd],YB_3[Groep]=A143)))</f>
        <v>65.333333333333329</v>
      </c>
      <c r="J143" s="116" cm="1">
        <f t="array" ref="J143">IF(C143=0,"-",_xlfn.STDEV.S(_xlfn._xlws.FILTER(YB_3[TakTijd],YB_3[Groep]=A143)))</f>
        <v>0.57735026918962573</v>
      </c>
    </row>
    <row r="144" spans="1:10" x14ac:dyDescent="0.2">
      <c r="A144" s="44" t="s">
        <v>573</v>
      </c>
      <c r="B144" s="111">
        <f>COUNTIF(YB_3[Groep],"="&amp;A144)</f>
        <v>5</v>
      </c>
      <c r="C144" s="111">
        <f>COUNTIFS(YB_3[Groep],"="&amp;A144,YB_3[Afrondingsdatum],"&lt;&gt;N/A")</f>
        <v>2</v>
      </c>
      <c r="D144" s="111">
        <f>COUNTIFS(YB_3[Groep],"="&amp;A144,YB_3[Afrondingsdatum],"=N/A")</f>
        <v>3</v>
      </c>
      <c r="E144" s="67">
        <f>C144/B144</f>
        <v>0.4</v>
      </c>
      <c r="F144" s="112" cm="1">
        <f t="array" ref="F144">MIN(_xlfn._xlws.FILTER(YB_3[TakTijd],YB_3[Groep]=A144))</f>
        <v>41</v>
      </c>
      <c r="G144" s="112" cm="1">
        <f t="array" ref="G144">MAX(_xlfn._xlws.FILTER(YB_3[TakTijd],YB_3[Groep]=A144))</f>
        <v>67</v>
      </c>
      <c r="H144" s="72">
        <f>G144-F144</f>
        <v>26</v>
      </c>
      <c r="I144" s="116" cm="1">
        <f t="array" ref="I144">IF(C144=0,"-",AVERAGE(_xlfn._xlws.FILTER(YB_3[TakTijd],YB_3[Groep]=A144)))</f>
        <v>54</v>
      </c>
      <c r="J144" s="116" cm="1">
        <f t="array" ref="J144">IF(C144=0,"-",_xlfn.STDEV.S(_xlfn._xlws.FILTER(YB_3[TakTijd],YB_3[Groep]=A144)))</f>
        <v>18.384776310850235</v>
      </c>
    </row>
    <row r="145" spans="1:10" x14ac:dyDescent="0.2">
      <c r="A145" s="44" t="s">
        <v>575</v>
      </c>
      <c r="B145" s="111">
        <f>COUNTIF(YB_3[Groep],"="&amp;A145)</f>
        <v>4</v>
      </c>
      <c r="C145" s="111">
        <f>COUNTIFS(YB_3[Groep],"="&amp;A145,YB_3[Afrondingsdatum],"&lt;&gt;N/A")</f>
        <v>3</v>
      </c>
      <c r="D145" s="111">
        <f>COUNTIFS(YB_3[Groep],"="&amp;A145,YB_3[Afrondingsdatum],"=N/A")</f>
        <v>1</v>
      </c>
      <c r="E145" s="67">
        <f>C145/B145</f>
        <v>0.75</v>
      </c>
      <c r="F145" s="112" cm="1">
        <f t="array" ref="F145">MIN(_xlfn._xlws.FILTER(YB_3[TakTijd],YB_3[Groep]=A145))</f>
        <v>58</v>
      </c>
      <c r="G145" s="112" cm="1">
        <f t="array" ref="G145">MAX(_xlfn._xlws.FILTER(YB_3[TakTijd],YB_3[Groep]=A145))</f>
        <v>65</v>
      </c>
      <c r="H145" s="72">
        <f>G145-F145</f>
        <v>7</v>
      </c>
      <c r="I145" s="116" cm="1">
        <f t="array" ref="I145">IF(C145=0,"-",AVERAGE(_xlfn._xlws.FILTER(YB_3[TakTijd],YB_3[Groep]=A145)))</f>
        <v>62.333333333333336</v>
      </c>
      <c r="J145" s="116" cm="1">
        <f t="array" ref="J145">IF(C145=0,"-",_xlfn.STDEV.S(_xlfn._xlws.FILTER(YB_3[TakTijd],YB_3[Groep]=A145)))</f>
        <v>3.7859388972001828</v>
      </c>
    </row>
    <row r="146" spans="1:10" x14ac:dyDescent="0.2">
      <c r="A146" s="44" t="s">
        <v>574</v>
      </c>
      <c r="B146" s="111">
        <f>COUNTIF(YB_3[Groep],"="&amp;A146)</f>
        <v>3</v>
      </c>
      <c r="C146" s="111">
        <f>COUNTIFS(YB_3[Groep],"="&amp;A146,YB_3[Afrondingsdatum],"&lt;&gt;N/A")</f>
        <v>2</v>
      </c>
      <c r="D146" s="111">
        <f>COUNTIFS(YB_3[Groep],"="&amp;A146,YB_3[Afrondingsdatum],"=N/A")</f>
        <v>1</v>
      </c>
      <c r="E146" s="67">
        <f>C146/B146</f>
        <v>0.66666666666666663</v>
      </c>
      <c r="F146" s="112" cm="1">
        <f t="array" ref="F146">MIN(_xlfn._xlws.FILTER(YB_3[TakTijd],YB_3[Groep]=A146))</f>
        <v>65</v>
      </c>
      <c r="G146" s="112" cm="1">
        <f t="array" ref="G146">MAX(_xlfn._xlws.FILTER(YB_3[TakTijd],YB_3[Groep]=A146))</f>
        <v>66</v>
      </c>
      <c r="H146" s="72">
        <f>G146-F146</f>
        <v>1</v>
      </c>
      <c r="I146" s="116" cm="1">
        <f t="array" ref="I146">IF(C146=0,"-",AVERAGE(_xlfn._xlws.FILTER(YB_3[TakTijd],YB_3[Groep]=A146)))</f>
        <v>65.5</v>
      </c>
      <c r="J146" s="116" cm="1">
        <f t="array" ref="J146">IF(C146=0,"-",_xlfn.STDEV.S(_xlfn._xlws.FILTER(YB_3[TakTijd],YB_3[Groep]=A146)))</f>
        <v>0.70710678118654757</v>
      </c>
    </row>
    <row r="147" spans="1:10" x14ac:dyDescent="0.2">
      <c r="A147" s="44" t="s">
        <v>576</v>
      </c>
      <c r="B147" s="111">
        <f>COUNTIF(YB_3[Groep],"="&amp;A147)</f>
        <v>4</v>
      </c>
      <c r="C147" s="111">
        <f>COUNTIFS(YB_3[Groep],"="&amp;A147,YB_3[Afrondingsdatum],"&lt;&gt;N/A")</f>
        <v>4</v>
      </c>
      <c r="D147" s="111">
        <f>COUNTIFS(YB_3[Groep],"="&amp;A147,YB_3[Afrondingsdatum],"=N/A")</f>
        <v>0</v>
      </c>
      <c r="E147" s="67">
        <f>C147/B147</f>
        <v>1</v>
      </c>
      <c r="F147" s="112" cm="1">
        <f t="array" ref="F147">MIN(_xlfn._xlws.FILTER(YB_3[TakTijd],YB_3[Groep]=A147))</f>
        <v>52</v>
      </c>
      <c r="G147" s="112" cm="1">
        <f t="array" ref="G147">MAX(_xlfn._xlws.FILTER(YB_3[TakTijd],YB_3[Groep]=A147))</f>
        <v>58</v>
      </c>
      <c r="H147" s="72">
        <f>G147-F147</f>
        <v>6</v>
      </c>
      <c r="I147" s="116" cm="1">
        <f t="array" ref="I147">IF(C147=0,"-",AVERAGE(_xlfn._xlws.FILTER(YB_3[TakTijd],YB_3[Groep]=A147)))</f>
        <v>54.5</v>
      </c>
      <c r="J147" s="116" cm="1">
        <f t="array" ref="J147">IF(C147=0,"-",_xlfn.STDEV.S(_xlfn._xlws.FILTER(YB_3[TakTijd],YB_3[Groep]=A147)))</f>
        <v>2.6457513110645907</v>
      </c>
    </row>
    <row r="148" spans="1:10" x14ac:dyDescent="0.2">
      <c r="A148" s="44" t="s">
        <v>577</v>
      </c>
      <c r="B148" s="111">
        <f>COUNTIF(YB_3[Groep],"="&amp;A148)</f>
        <v>2</v>
      </c>
      <c r="C148" s="111">
        <f>COUNTIFS(YB_3[Groep],"="&amp;A148,YB_3[Afrondingsdatum],"&lt;&gt;N/A")</f>
        <v>2</v>
      </c>
      <c r="D148" s="111">
        <f>COUNTIFS(YB_3[Groep],"="&amp;A148,YB_3[Afrondingsdatum],"=N/A")</f>
        <v>0</v>
      </c>
      <c r="E148" s="67">
        <f>C148/B148</f>
        <v>1</v>
      </c>
      <c r="F148" s="112" cm="1">
        <f t="array" ref="F148">MIN(_xlfn._xlws.FILTER(YB_3[TakTijd],YB_3[Groep]=A148))</f>
        <v>29</v>
      </c>
      <c r="G148" s="112" cm="1">
        <f t="array" ref="G148">MAX(_xlfn._xlws.FILTER(YB_3[TakTijd],YB_3[Groep]=A148))</f>
        <v>37</v>
      </c>
      <c r="H148" s="72">
        <f>G148-F148</f>
        <v>8</v>
      </c>
      <c r="I148" s="116" cm="1">
        <f t="array" ref="I148">IF(C148=0,"-",AVERAGE(_xlfn._xlws.FILTER(YB_3[TakTijd],YB_3[Groep]=A148)))</f>
        <v>33</v>
      </c>
      <c r="J148" s="116" cm="1">
        <f t="array" ref="J148">IF(C148=0,"-",_xlfn.STDEV.S(_xlfn._xlws.FILTER(YB_3[TakTijd],YB_3[Groep]=A148)))</f>
        <v>5.6568542494923806</v>
      </c>
    </row>
    <row r="149" spans="1:10" x14ac:dyDescent="0.2">
      <c r="A149" s="44" t="s">
        <v>578</v>
      </c>
      <c r="B149" s="111">
        <f>COUNTIF(YB_3[Groep],"="&amp;A149)</f>
        <v>5</v>
      </c>
      <c r="C149" s="111">
        <f>COUNTIFS(YB_3[Groep],"="&amp;A149,YB_3[Afrondingsdatum],"&lt;&gt;N/A")</f>
        <v>3</v>
      </c>
      <c r="D149" s="111">
        <f>COUNTIFS(YB_3[Groep],"="&amp;A149,YB_3[Afrondingsdatum],"=N/A")</f>
        <v>2</v>
      </c>
      <c r="E149" s="67">
        <f>C149/B149</f>
        <v>0.6</v>
      </c>
      <c r="F149" s="112" cm="1">
        <f t="array" ref="F149">MIN(_xlfn._xlws.FILTER(YB_3[TakTijd],YB_3[Groep]=A149))</f>
        <v>53</v>
      </c>
      <c r="G149" s="112" cm="1">
        <f t="array" ref="G149">MAX(_xlfn._xlws.FILTER(YB_3[TakTijd],YB_3[Groep]=A149))</f>
        <v>55</v>
      </c>
      <c r="H149" s="72">
        <f>G149-F149</f>
        <v>2</v>
      </c>
      <c r="I149" s="116" cm="1">
        <f t="array" ref="I149">IF(C149=0,"-",AVERAGE(_xlfn._xlws.FILTER(YB_3[TakTijd],YB_3[Groep]=A149)))</f>
        <v>54.333333333333336</v>
      </c>
      <c r="J149" s="116" cm="1">
        <f t="array" ref="J149">IF(C149=0,"-",_xlfn.STDEV.S(_xlfn._xlws.FILTER(YB_3[TakTijd],YB_3[Groep]=A149)))</f>
        <v>1.1547005383792517</v>
      </c>
    </row>
    <row r="150" spans="1:10" x14ac:dyDescent="0.2">
      <c r="A150" s="44" t="s">
        <v>579</v>
      </c>
      <c r="B150" s="111">
        <f>COUNTIF(YB_3[Groep],"="&amp;A150)</f>
        <v>4</v>
      </c>
      <c r="C150" s="111">
        <f>COUNTIFS(YB_3[Groep],"="&amp;A150,YB_3[Afrondingsdatum],"&lt;&gt;N/A")</f>
        <v>4</v>
      </c>
      <c r="D150" s="111">
        <f>COUNTIFS(YB_3[Groep],"="&amp;A150,YB_3[Afrondingsdatum],"=N/A")</f>
        <v>0</v>
      </c>
      <c r="E150" s="67">
        <f>C150/B150</f>
        <v>1</v>
      </c>
      <c r="F150" s="112" cm="1">
        <f t="array" ref="F150">MIN(_xlfn._xlws.FILTER(YB_3[TakTijd],YB_3[Groep]=A150))</f>
        <v>45</v>
      </c>
      <c r="G150" s="112" cm="1">
        <f t="array" ref="G150">MAX(_xlfn._xlws.FILTER(YB_3[TakTijd],YB_3[Groep]=A150))</f>
        <v>55</v>
      </c>
      <c r="H150" s="72">
        <f>G150-F150</f>
        <v>10</v>
      </c>
      <c r="I150" s="116" cm="1">
        <f t="array" ref="I150">IF(C150=0,"-",AVERAGE(_xlfn._xlws.FILTER(YB_3[TakTijd],YB_3[Groep]=A150)))</f>
        <v>50.5</v>
      </c>
      <c r="J150" s="116" cm="1">
        <f t="array" ref="J150">IF(C150=0,"-",_xlfn.STDEV.S(_xlfn._xlws.FILTER(YB_3[TakTijd],YB_3[Groep]=A150)))</f>
        <v>4.2031734043061642</v>
      </c>
    </row>
    <row r="151" spans="1:10" x14ac:dyDescent="0.2">
      <c r="A151" s="44" t="s">
        <v>580</v>
      </c>
      <c r="B151" s="111">
        <f>COUNTIF(YB_3[Groep],"="&amp;A151)</f>
        <v>3</v>
      </c>
      <c r="C151" s="111">
        <f>COUNTIFS(YB_3[Groep],"="&amp;A151,YB_3[Afrondingsdatum],"&lt;&gt;N/A")</f>
        <v>3</v>
      </c>
      <c r="D151" s="111">
        <f>COUNTIFS(YB_3[Groep],"="&amp;A151,YB_3[Afrondingsdatum],"=N/A")</f>
        <v>0</v>
      </c>
      <c r="E151" s="67">
        <f>C151/B151</f>
        <v>1</v>
      </c>
      <c r="F151" s="112" cm="1">
        <f t="array" ref="F151">MIN(_xlfn._xlws.FILTER(YB_3[TakTijd],YB_3[Groep]=A151))</f>
        <v>36</v>
      </c>
      <c r="G151" s="112" cm="1">
        <f t="array" ref="G151">MAX(_xlfn._xlws.FILTER(YB_3[TakTijd],YB_3[Groep]=A151))</f>
        <v>57</v>
      </c>
      <c r="H151" s="72">
        <f>G151-F151</f>
        <v>21</v>
      </c>
      <c r="I151" s="116" cm="1">
        <f t="array" ref="I151">IF(C151=0,"-",AVERAGE(_xlfn._xlws.FILTER(YB_3[TakTijd],YB_3[Groep]=A151)))</f>
        <v>48.666666666666664</v>
      </c>
      <c r="J151" s="116" cm="1">
        <f t="array" ref="J151">IF(C151=0,"-",_xlfn.STDEV.S(_xlfn._xlws.FILTER(YB_3[TakTijd],YB_3[Groep]=A151)))</f>
        <v>11.150485789118495</v>
      </c>
    </row>
    <row r="152" spans="1:10" x14ac:dyDescent="0.2">
      <c r="A152" s="44" t="s">
        <v>581</v>
      </c>
      <c r="B152" s="111">
        <f>COUNTIF(YB_3[Groep],"="&amp;A152)</f>
        <v>5</v>
      </c>
      <c r="C152" s="111">
        <f>COUNTIFS(YB_3[Groep],"="&amp;A152,YB_3[Afrondingsdatum],"&lt;&gt;N/A")</f>
        <v>4</v>
      </c>
      <c r="D152" s="111">
        <f>COUNTIFS(YB_3[Groep],"="&amp;A152,YB_3[Afrondingsdatum],"=N/A")</f>
        <v>1</v>
      </c>
      <c r="E152" s="67">
        <f>C152/B152</f>
        <v>0.8</v>
      </c>
      <c r="F152" s="112" cm="1">
        <f t="array" ref="F152">MIN(_xlfn._xlws.FILTER(YB_3[TakTijd],YB_3[Groep]=A152))</f>
        <v>52</v>
      </c>
      <c r="G152" s="112" cm="1">
        <f t="array" ref="G152">MAX(_xlfn._xlws.FILTER(YB_3[TakTijd],YB_3[Groep]=A152))</f>
        <v>56</v>
      </c>
      <c r="H152" s="72">
        <f>G152-F152</f>
        <v>4</v>
      </c>
      <c r="I152" s="116" cm="1">
        <f t="array" ref="I152">IF(C152=0,"-",AVERAGE(_xlfn._xlws.FILTER(YB_3[TakTijd],YB_3[Groep]=A152)))</f>
        <v>54</v>
      </c>
      <c r="J152" s="116" cm="1">
        <f t="array" ref="J152">IF(C152=0,"-",_xlfn.STDEV.S(_xlfn._xlws.FILTER(YB_3[TakTijd],YB_3[Groep]=A152)))</f>
        <v>1.6329931618554521</v>
      </c>
    </row>
    <row r="153" spans="1:10" x14ac:dyDescent="0.2">
      <c r="A153" t="s">
        <v>551</v>
      </c>
      <c r="B153" s="111">
        <f>COUNTIF(YB_3[Groep],"="&amp;A153)</f>
        <v>3</v>
      </c>
      <c r="C153" s="111">
        <f>COUNTIFS(YB_3[Groep],"="&amp;A153,YB_3[Afrondingsdatum],"&lt;&gt;N/A")</f>
        <v>0</v>
      </c>
      <c r="D153" s="111">
        <f>COUNTIFS(YB_3[Groep],"="&amp;A153,YB_3[Afrondingsdatum],"=N/A")</f>
        <v>3</v>
      </c>
      <c r="E153" s="67">
        <f>C153/B153</f>
        <v>0</v>
      </c>
      <c r="F153" s="112" cm="1">
        <f t="array" ref="F153">MIN(_xlfn._xlws.FILTER(YB_3[TakTijd],YB_3[Groep]=A153))</f>
        <v>0</v>
      </c>
      <c r="G153" s="112" cm="1">
        <f t="array" ref="G153">MAX(_xlfn._xlws.FILTER(YB_3[TakTijd],YB_3[Groep]=A153))</f>
        <v>0</v>
      </c>
      <c r="H153" s="72">
        <f>G153-F153</f>
        <v>0</v>
      </c>
      <c r="I153" s="116" t="str" cm="1">
        <f t="array" ref="I153">IF(C153=0,"-",AVERAGE(_xlfn._xlws.FILTER(YB_3[TakTijd],YB_3[Groep]=A153)))</f>
        <v>-</v>
      </c>
      <c r="J153" s="116" t="str" cm="1">
        <f t="array" ref="J153">IF(C153=0,"-",_xlfn.STDEV.S(_xlfn._xlws.FILTER(YB_3[TakTijd],YB_3[Groep]=A153)))</f>
        <v>-</v>
      </c>
    </row>
    <row r="154" spans="1:10" x14ac:dyDescent="0.2">
      <c r="A154" t="s">
        <v>552</v>
      </c>
      <c r="B154" s="111">
        <f>COUNTIF(YB_3[Groep],"="&amp;A154)</f>
        <v>4</v>
      </c>
      <c r="C154" s="111">
        <f>COUNTIFS(YB_3[Groep],"="&amp;A154,YB_3[Afrondingsdatum],"&lt;&gt;N/A")</f>
        <v>3</v>
      </c>
      <c r="D154" s="111">
        <f>COUNTIFS(YB_3[Groep],"="&amp;A154,YB_3[Afrondingsdatum],"=N/A")</f>
        <v>1</v>
      </c>
      <c r="E154" s="67">
        <f>C154/B154</f>
        <v>0.75</v>
      </c>
      <c r="F154" s="112" cm="1">
        <f t="array" ref="F154">MIN(_xlfn._xlws.FILTER(YB_3[TakTijd],YB_3[Groep]=A154))</f>
        <v>46</v>
      </c>
      <c r="G154" s="112" cm="1">
        <f t="array" ref="G154">MAX(_xlfn._xlws.FILTER(YB_3[TakTijd],YB_3[Groep]=A154))</f>
        <v>65</v>
      </c>
      <c r="H154" s="72">
        <f>G154-F154</f>
        <v>19</v>
      </c>
      <c r="I154" s="116" cm="1">
        <f t="array" ref="I154">IF(C154=0,"-",AVERAGE(_xlfn._xlws.FILTER(YB_3[TakTijd],YB_3[Groep]=A154)))</f>
        <v>54</v>
      </c>
      <c r="J154" s="116" cm="1">
        <f t="array" ref="J154">IF(C154=0,"-",_xlfn.STDEV.S(_xlfn._xlws.FILTER(YB_3[TakTijd],YB_3[Groep]=A154)))</f>
        <v>9.8488578017961039</v>
      </c>
    </row>
    <row r="155" spans="1:10" x14ac:dyDescent="0.2">
      <c r="A155" t="s">
        <v>553</v>
      </c>
      <c r="B155" s="111">
        <f>COUNTIF(YB_3[Groep],"="&amp;A155)</f>
        <v>4</v>
      </c>
      <c r="C155" s="111">
        <f>COUNTIFS(YB_3[Groep],"="&amp;A155,YB_3[Afrondingsdatum],"&lt;&gt;N/A")</f>
        <v>3</v>
      </c>
      <c r="D155" s="111">
        <f>COUNTIFS(YB_3[Groep],"="&amp;A155,YB_3[Afrondingsdatum],"=N/A")</f>
        <v>1</v>
      </c>
      <c r="E155" s="67">
        <f>C155/B155</f>
        <v>0.75</v>
      </c>
      <c r="F155" s="112" cm="1">
        <f t="array" ref="F155">MIN(_xlfn._xlws.FILTER(YB_3[TakTijd],YB_3[Groep]=A155))</f>
        <v>41</v>
      </c>
      <c r="G155" s="112" cm="1">
        <f t="array" ref="G155">MAX(_xlfn._xlws.FILTER(YB_3[TakTijd],YB_3[Groep]=A155))</f>
        <v>56</v>
      </c>
      <c r="H155" s="72">
        <f>G155-F155</f>
        <v>15</v>
      </c>
      <c r="I155" s="116" cm="1">
        <f t="array" ref="I155">IF(C155=0,"-",AVERAGE(_xlfn._xlws.FILTER(YB_3[TakTijd],YB_3[Groep]=A155)))</f>
        <v>47.666666666666664</v>
      </c>
      <c r="J155" s="116" cm="1">
        <f t="array" ref="J155">IF(C155=0,"-",_xlfn.STDEV.S(_xlfn._xlws.FILTER(YB_3[TakTijd],YB_3[Groep]=A155)))</f>
        <v>7.6376261582597431</v>
      </c>
    </row>
    <row r="156" spans="1:10" x14ac:dyDescent="0.2">
      <c r="A156" t="s">
        <v>554</v>
      </c>
      <c r="B156" s="111">
        <f>COUNTIF(YB_3[Groep],"="&amp;A156)</f>
        <v>4</v>
      </c>
      <c r="C156" s="111">
        <f>COUNTIFS(YB_3[Groep],"="&amp;A156,YB_3[Afrondingsdatum],"&lt;&gt;N/A")</f>
        <v>0</v>
      </c>
      <c r="D156" s="111">
        <f>COUNTIFS(YB_3[Groep],"="&amp;A156,YB_3[Afrondingsdatum],"=N/A")</f>
        <v>4</v>
      </c>
      <c r="E156" s="67">
        <f>C156/B156</f>
        <v>0</v>
      </c>
      <c r="F156" s="112" cm="1">
        <f t="array" ref="F156">MIN(_xlfn._xlws.FILTER(YB_3[TakTijd],YB_3[Groep]=A156))</f>
        <v>0</v>
      </c>
      <c r="G156" s="112" cm="1">
        <f t="array" ref="G156">MAX(_xlfn._xlws.FILTER(YB_3[TakTijd],YB_3[Groep]=A156))</f>
        <v>0</v>
      </c>
      <c r="H156" s="72">
        <f>G156-F156</f>
        <v>0</v>
      </c>
      <c r="I156" s="116" t="str" cm="1">
        <f t="array" ref="I156">IF(C156=0,"-",AVERAGE(_xlfn._xlws.FILTER(YB_3[TakTijd],YB_3[Groep]=A156)))</f>
        <v>-</v>
      </c>
      <c r="J156" s="116" t="str" cm="1">
        <f t="array" ref="J156">IF(C156=0,"-",_xlfn.STDEV.S(_xlfn._xlws.FILTER(YB_3[TakTijd],YB_3[Groep]=A156)))</f>
        <v>-</v>
      </c>
    </row>
    <row r="157" spans="1:10" x14ac:dyDescent="0.2">
      <c r="A157" t="s">
        <v>555</v>
      </c>
      <c r="B157" s="111">
        <f>COUNTIF(YB_3[Groep],"="&amp;A157)</f>
        <v>3</v>
      </c>
      <c r="C157" s="111">
        <f>COUNTIFS(YB_3[Groep],"="&amp;A157,YB_3[Afrondingsdatum],"&lt;&gt;N/A")</f>
        <v>2</v>
      </c>
      <c r="D157" s="111">
        <f>COUNTIFS(YB_3[Groep],"="&amp;A157,YB_3[Afrondingsdatum],"=N/A")</f>
        <v>1</v>
      </c>
      <c r="E157" s="67">
        <f>C157/B157</f>
        <v>0.66666666666666663</v>
      </c>
      <c r="F157" s="112" cm="1">
        <f t="array" ref="F157">MIN(_xlfn._xlws.FILTER(YB_3[TakTijd],YB_3[Groep]=A157))</f>
        <v>62</v>
      </c>
      <c r="G157" s="112" cm="1">
        <f t="array" ref="G157">MAX(_xlfn._xlws.FILTER(YB_3[TakTijd],YB_3[Groep]=A157))</f>
        <v>69</v>
      </c>
      <c r="H157" s="72">
        <f>G157-F157</f>
        <v>7</v>
      </c>
      <c r="I157" s="116" cm="1">
        <f t="array" ref="I157">IF(C157=0,"-",AVERAGE(_xlfn._xlws.FILTER(YB_3[TakTijd],YB_3[Groep]=A157)))</f>
        <v>65.5</v>
      </c>
      <c r="J157" s="116" cm="1">
        <f t="array" ref="J157">IF(C157=0,"-",_xlfn.STDEV.S(_xlfn._xlws.FILTER(YB_3[TakTijd],YB_3[Groep]=A157)))</f>
        <v>4.9497474683058327</v>
      </c>
    </row>
    <row r="158" spans="1:10" x14ac:dyDescent="0.2">
      <c r="A158" t="s">
        <v>556</v>
      </c>
      <c r="B158" s="111">
        <f>COUNTIF(YB_3[Groep],"="&amp;A158)</f>
        <v>4</v>
      </c>
      <c r="C158" s="111">
        <f>COUNTIFS(YB_3[Groep],"="&amp;A158,YB_3[Afrondingsdatum],"&lt;&gt;N/A")</f>
        <v>4</v>
      </c>
      <c r="D158" s="111">
        <f>COUNTIFS(YB_3[Groep],"="&amp;A158,YB_3[Afrondingsdatum],"=N/A")</f>
        <v>0</v>
      </c>
      <c r="E158" s="67">
        <f>C158/B158</f>
        <v>1</v>
      </c>
      <c r="F158" s="112" cm="1">
        <f t="array" ref="F158">MIN(_xlfn._xlws.FILTER(YB_3[TakTijd],YB_3[Groep]=A158))</f>
        <v>31</v>
      </c>
      <c r="G158" s="112" cm="1">
        <f t="array" ref="G158">MAX(_xlfn._xlws.FILTER(YB_3[TakTijd],YB_3[Groep]=A158))</f>
        <v>56</v>
      </c>
      <c r="H158" s="72">
        <f>G158-F158</f>
        <v>25</v>
      </c>
      <c r="I158" s="116" cm="1">
        <f t="array" ref="I158">IF(C158=0,"-",AVERAGE(_xlfn._xlws.FILTER(YB_3[TakTijd],YB_3[Groep]=A158)))</f>
        <v>48</v>
      </c>
      <c r="J158" s="116" cm="1">
        <f t="array" ref="J158">IF(C158=0,"-",_xlfn.STDEV.S(_xlfn._xlws.FILTER(YB_3[TakTijd],YB_3[Groep]=A158)))</f>
        <v>11.633285577743433</v>
      </c>
    </row>
    <row r="159" spans="1:10" x14ac:dyDescent="0.2">
      <c r="A159" t="s">
        <v>557</v>
      </c>
      <c r="B159" s="111">
        <f>COUNTIF(YB_3[Groep],"="&amp;A159)</f>
        <v>4</v>
      </c>
      <c r="C159" s="111">
        <f>COUNTIFS(YB_3[Groep],"="&amp;A159,YB_3[Afrondingsdatum],"&lt;&gt;N/A")</f>
        <v>4</v>
      </c>
      <c r="D159" s="111">
        <f>COUNTIFS(YB_3[Groep],"="&amp;A159,YB_3[Afrondingsdatum],"=N/A")</f>
        <v>0</v>
      </c>
      <c r="E159" s="67">
        <f>C159/B159</f>
        <v>1</v>
      </c>
      <c r="F159" s="112" cm="1">
        <f t="array" ref="F159">MIN(_xlfn._xlws.FILTER(YB_3[TakTijd],YB_3[Groep]=A159))</f>
        <v>18</v>
      </c>
      <c r="G159" s="112" cm="1">
        <f t="array" ref="G159">MAX(_xlfn._xlws.FILTER(YB_3[TakTijd],YB_3[Groep]=A159))</f>
        <v>27</v>
      </c>
      <c r="H159" s="72">
        <f>G159-F159</f>
        <v>9</v>
      </c>
      <c r="I159" s="116" cm="1">
        <f t="array" ref="I159">IF(C159=0,"-",AVERAGE(_xlfn._xlws.FILTER(YB_3[TakTijd],YB_3[Groep]=A159)))</f>
        <v>22.75</v>
      </c>
      <c r="J159" s="116" cm="1">
        <f t="array" ref="J159">IF(C159=0,"-",_xlfn.STDEV.S(_xlfn._xlws.FILTER(YB_3[TakTijd],YB_3[Groep]=A159)))</f>
        <v>4.0311288741492746</v>
      </c>
    </row>
    <row r="160" spans="1:10" x14ac:dyDescent="0.2">
      <c r="A160" t="s">
        <v>558</v>
      </c>
      <c r="B160" s="111">
        <f>COUNTIF(YB_3[Groep],"="&amp;A160)</f>
        <v>4</v>
      </c>
      <c r="C160" s="111">
        <f>COUNTIFS(YB_3[Groep],"="&amp;A160,YB_3[Afrondingsdatum],"&lt;&gt;N/A")</f>
        <v>4</v>
      </c>
      <c r="D160" s="111">
        <f>COUNTIFS(YB_3[Groep],"="&amp;A160,YB_3[Afrondingsdatum],"=N/A")</f>
        <v>0</v>
      </c>
      <c r="E160" s="67">
        <f>C160/B160</f>
        <v>1</v>
      </c>
      <c r="F160" s="112" cm="1">
        <f t="array" ref="F160">MIN(_xlfn._xlws.FILTER(YB_3[TakTijd],YB_3[Groep]=A160))</f>
        <v>55</v>
      </c>
      <c r="G160" s="112" cm="1">
        <f t="array" ref="G160">MAX(_xlfn._xlws.FILTER(YB_3[TakTijd],YB_3[Groep]=A160))</f>
        <v>62</v>
      </c>
      <c r="H160" s="72">
        <f>G160-F160</f>
        <v>7</v>
      </c>
      <c r="I160" s="116" cm="1">
        <f t="array" ref="I160">IF(C160=0,"-",AVERAGE(_xlfn._xlws.FILTER(YB_3[TakTijd],YB_3[Groep]=A160)))</f>
        <v>57.75</v>
      </c>
      <c r="J160" s="116" cm="1">
        <f t="array" ref="J160">IF(C160=0,"-",_xlfn.STDEV.S(_xlfn._xlws.FILTER(YB_3[TakTijd],YB_3[Groep]=A160)))</f>
        <v>2.9860788111948193</v>
      </c>
    </row>
    <row r="161" spans="1:10" x14ac:dyDescent="0.2">
      <c r="A161" t="s">
        <v>559</v>
      </c>
      <c r="B161" s="111">
        <f>COUNTIF(YB_3[Groep],"="&amp;A161)</f>
        <v>4</v>
      </c>
      <c r="C161" s="111">
        <f>COUNTIFS(YB_3[Groep],"="&amp;A161,YB_3[Afrondingsdatum],"&lt;&gt;N/A")</f>
        <v>3</v>
      </c>
      <c r="D161" s="111">
        <f>COUNTIFS(YB_3[Groep],"="&amp;A161,YB_3[Afrondingsdatum],"=N/A")</f>
        <v>1</v>
      </c>
      <c r="E161" s="67">
        <f>C161/B161</f>
        <v>0.75</v>
      </c>
      <c r="F161" s="112" cm="1">
        <f t="array" ref="F161">MIN(_xlfn._xlws.FILTER(YB_3[TakTijd],YB_3[Groep]=A161))</f>
        <v>48</v>
      </c>
      <c r="G161" s="112" cm="1">
        <f t="array" ref="G161">MAX(_xlfn._xlws.FILTER(YB_3[TakTijd],YB_3[Groep]=A161))</f>
        <v>70</v>
      </c>
      <c r="H161" s="72">
        <f>G161-F161</f>
        <v>22</v>
      </c>
      <c r="I161" s="116" cm="1">
        <f t="array" ref="I161">IF(C161=0,"-",AVERAGE(_xlfn._xlws.FILTER(YB_3[TakTijd],YB_3[Groep]=A161)))</f>
        <v>60</v>
      </c>
      <c r="J161" s="116" cm="1">
        <f t="array" ref="J161">IF(C161=0,"-",_xlfn.STDEV.S(_xlfn._xlws.FILTER(YB_3[TakTijd],YB_3[Groep]=A161)))</f>
        <v>11.135528725660043</v>
      </c>
    </row>
    <row r="162" spans="1:10" x14ac:dyDescent="0.2">
      <c r="A162" t="s">
        <v>560</v>
      </c>
      <c r="B162" s="111">
        <f>COUNTIF(YB_3[Groep],"="&amp;A162)</f>
        <v>3</v>
      </c>
      <c r="C162" s="111">
        <f>COUNTIFS(YB_3[Groep],"="&amp;A162,YB_3[Afrondingsdatum],"&lt;&gt;N/A")</f>
        <v>3</v>
      </c>
      <c r="D162" s="111">
        <f>COUNTIFS(YB_3[Groep],"="&amp;A162,YB_3[Afrondingsdatum],"=N/A")</f>
        <v>0</v>
      </c>
      <c r="E162" s="67">
        <f>C162/B162</f>
        <v>1</v>
      </c>
      <c r="F162" s="112" cm="1">
        <f t="array" ref="F162">MIN(_xlfn._xlws.FILTER(YB_3[TakTijd],YB_3[Groep]=A162))</f>
        <v>51</v>
      </c>
      <c r="G162" s="112" cm="1">
        <f t="array" ref="G162">MAX(_xlfn._xlws.FILTER(YB_3[TakTijd],YB_3[Groep]=A162))</f>
        <v>64</v>
      </c>
      <c r="H162" s="72">
        <f>G162-F162</f>
        <v>13</v>
      </c>
      <c r="I162" s="116" cm="1">
        <f t="array" ref="I162">IF(C162=0,"-",AVERAGE(_xlfn._xlws.FILTER(YB_3[TakTijd],YB_3[Groep]=A162)))</f>
        <v>59.333333333333336</v>
      </c>
      <c r="J162" s="116" cm="1">
        <f t="array" ref="J162">IF(C162=0,"-",_xlfn.STDEV.S(_xlfn._xlws.FILTER(YB_3[TakTijd],YB_3[Groep]=A162)))</f>
        <v>7.2341781380702352</v>
      </c>
    </row>
    <row r="163" spans="1:10" x14ac:dyDescent="0.2">
      <c r="A163" t="s">
        <v>561</v>
      </c>
      <c r="B163" s="111">
        <f>COUNTIF(YB_3[Groep],"="&amp;A163)</f>
        <v>3</v>
      </c>
      <c r="C163" s="111">
        <f>COUNTIFS(YB_3[Groep],"="&amp;A163,YB_3[Afrondingsdatum],"&lt;&gt;N/A")</f>
        <v>3</v>
      </c>
      <c r="D163" s="111">
        <f>COUNTIFS(YB_3[Groep],"="&amp;A163,YB_3[Afrondingsdatum],"=N/A")</f>
        <v>0</v>
      </c>
      <c r="E163" s="67">
        <f>C163/B163</f>
        <v>1</v>
      </c>
      <c r="F163" s="112" cm="1">
        <f t="array" ref="F163">MIN(_xlfn._xlws.FILTER(YB_3[TakTijd],YB_3[Groep]=A163))</f>
        <v>53</v>
      </c>
      <c r="G163" s="112" cm="1">
        <f t="array" ref="G163">MAX(_xlfn._xlws.FILTER(YB_3[TakTijd],YB_3[Groep]=A163))</f>
        <v>56</v>
      </c>
      <c r="H163" s="72">
        <f>G163-F163</f>
        <v>3</v>
      </c>
      <c r="I163" s="116" cm="1">
        <f t="array" ref="I163">IF(C163=0,"-",AVERAGE(_xlfn._xlws.FILTER(YB_3[TakTijd],YB_3[Groep]=A163)))</f>
        <v>54</v>
      </c>
      <c r="J163" s="116" cm="1">
        <f t="array" ref="J163">IF(C163=0,"-",_xlfn.STDEV.S(_xlfn._xlws.FILTER(YB_3[TakTijd],YB_3[Groep]=A163)))</f>
        <v>1.7320508075688772</v>
      </c>
    </row>
    <row r="164" spans="1:10" x14ac:dyDescent="0.2">
      <c r="A164" t="s">
        <v>563</v>
      </c>
      <c r="B164" s="111">
        <f>COUNTIF(YB_3[Groep],"="&amp;A164)</f>
        <v>4</v>
      </c>
      <c r="C164" s="111">
        <f>COUNTIFS(YB_3[Groep],"="&amp;A164,YB_3[Afrondingsdatum],"&lt;&gt;N/A")</f>
        <v>3</v>
      </c>
      <c r="D164" s="111">
        <f>COUNTIFS(YB_3[Groep],"="&amp;A164,YB_3[Afrondingsdatum],"=N/A")</f>
        <v>1</v>
      </c>
      <c r="E164" s="67">
        <f>C164/B164</f>
        <v>0.75</v>
      </c>
      <c r="F164" s="112" cm="1">
        <f t="array" ref="F164">MIN(_xlfn._xlws.FILTER(YB_3[TakTijd],YB_3[Groep]=A164))</f>
        <v>58</v>
      </c>
      <c r="G164" s="112" cm="1">
        <f t="array" ref="G164">MAX(_xlfn._xlws.FILTER(YB_3[TakTijd],YB_3[Groep]=A164))</f>
        <v>64</v>
      </c>
      <c r="H164" s="72">
        <f>G164-F164</f>
        <v>6</v>
      </c>
      <c r="I164" s="116" cm="1">
        <f t="array" ref="I164">IF(C164=0,"-",AVERAGE(_xlfn._xlws.FILTER(YB_3[TakTijd],YB_3[Groep]=A164)))</f>
        <v>61.666666666666664</v>
      </c>
      <c r="J164" s="116" cm="1">
        <f t="array" ref="J164">IF(C164=0,"-",_xlfn.STDEV.S(_xlfn._xlws.FILTER(YB_3[TakTijd],YB_3[Groep]=A164)))</f>
        <v>3.214550253664318</v>
      </c>
    </row>
    <row r="165" spans="1:10" x14ac:dyDescent="0.2">
      <c r="A165" t="s">
        <v>564</v>
      </c>
      <c r="B165" s="111">
        <f>COUNTIF(YB_3[Groep],"="&amp;A165)</f>
        <v>4</v>
      </c>
      <c r="C165" s="111">
        <f>COUNTIFS(YB_3[Groep],"="&amp;A165,YB_3[Afrondingsdatum],"&lt;&gt;N/A")</f>
        <v>4</v>
      </c>
      <c r="D165" s="111">
        <f>COUNTIFS(YB_3[Groep],"="&amp;A165,YB_3[Afrondingsdatum],"=N/A")</f>
        <v>0</v>
      </c>
      <c r="E165" s="67">
        <f>C165/B165</f>
        <v>1</v>
      </c>
      <c r="F165" s="112" cm="1">
        <f t="array" ref="F165">MIN(_xlfn._xlws.FILTER(YB_3[TakTijd],YB_3[Groep]=A165))</f>
        <v>36</v>
      </c>
      <c r="G165" s="112" cm="1">
        <f t="array" ref="G165">MAX(_xlfn._xlws.FILTER(YB_3[TakTijd],YB_3[Groep]=A165))</f>
        <v>61</v>
      </c>
      <c r="H165" s="72">
        <f>G165-F165</f>
        <v>25</v>
      </c>
      <c r="I165" s="116" cm="1">
        <f t="array" ref="I165">IF(C165=0,"-",AVERAGE(_xlfn._xlws.FILTER(YB_3[TakTijd],YB_3[Groep]=A165)))</f>
        <v>45</v>
      </c>
      <c r="J165" s="116" cm="1">
        <f t="array" ref="J165">IF(C165=0,"-",_xlfn.STDEV.S(_xlfn._xlws.FILTER(YB_3[TakTijd],YB_3[Groep]=A165)))</f>
        <v>11.16542281629615</v>
      </c>
    </row>
    <row r="166" spans="1:10" x14ac:dyDescent="0.2">
      <c r="A166" t="s">
        <v>565</v>
      </c>
      <c r="B166" s="111">
        <f>COUNTIF(YB_3[Groep],"="&amp;A166)</f>
        <v>4</v>
      </c>
      <c r="C166" s="111">
        <f>COUNTIFS(YB_3[Groep],"="&amp;A166,YB_3[Afrondingsdatum],"&lt;&gt;N/A")</f>
        <v>3</v>
      </c>
      <c r="D166" s="111">
        <f>COUNTIFS(YB_3[Groep],"="&amp;A166,YB_3[Afrondingsdatum],"=N/A")</f>
        <v>1</v>
      </c>
      <c r="E166" s="67">
        <f>C166/B166</f>
        <v>0.75</v>
      </c>
      <c r="F166" s="112" cm="1">
        <f t="array" ref="F166">MIN(_xlfn._xlws.FILTER(YB_3[TakTijd],YB_3[Groep]=A166))</f>
        <v>44</v>
      </c>
      <c r="G166" s="112" cm="1">
        <f t="array" ref="G166">MAX(_xlfn._xlws.FILTER(YB_3[TakTijd],YB_3[Groep]=A166))</f>
        <v>80</v>
      </c>
      <c r="H166" s="72">
        <f>G166-F166</f>
        <v>36</v>
      </c>
      <c r="I166" s="116" cm="1">
        <f t="array" ref="I166">IF(C166=0,"-",AVERAGE(_xlfn._xlws.FILTER(YB_3[TakTijd],YB_3[Groep]=A166)))</f>
        <v>64.333333333333329</v>
      </c>
      <c r="J166" s="116" cm="1">
        <f t="array" ref="J166">IF(C166=0,"-",_xlfn.STDEV.S(_xlfn._xlws.FILTER(YB_3[TakTijd],YB_3[Groep]=A166)))</f>
        <v>18.448125469362274</v>
      </c>
    </row>
    <row r="167" spans="1:10" x14ac:dyDescent="0.2">
      <c r="A167" t="s">
        <v>566</v>
      </c>
      <c r="B167" s="111">
        <f>COUNTIF(YB_3[Groep],"="&amp;A167)</f>
        <v>3</v>
      </c>
      <c r="C167" s="111">
        <f>COUNTIFS(YB_3[Groep],"="&amp;A167,YB_3[Afrondingsdatum],"&lt;&gt;N/A")</f>
        <v>3</v>
      </c>
      <c r="D167" s="111">
        <f>COUNTIFS(YB_3[Groep],"="&amp;A167,YB_3[Afrondingsdatum],"=N/A")</f>
        <v>0</v>
      </c>
      <c r="E167" s="67">
        <f>C167/B167</f>
        <v>1</v>
      </c>
      <c r="F167" s="112" cm="1">
        <f t="array" ref="F167">MIN(_xlfn._xlws.FILTER(YB_3[TakTijd],YB_3[Groep]=A167))</f>
        <v>44</v>
      </c>
      <c r="G167" s="112" cm="1">
        <f t="array" ref="G167">MAX(_xlfn._xlws.FILTER(YB_3[TakTijd],YB_3[Groep]=A167))</f>
        <v>65</v>
      </c>
      <c r="H167" s="72">
        <f>G167-F167</f>
        <v>21</v>
      </c>
      <c r="I167" s="116" cm="1">
        <f t="array" ref="I167">IF(C167=0,"-",AVERAGE(_xlfn._xlws.FILTER(YB_3[TakTijd],YB_3[Groep]=A167)))</f>
        <v>51.666666666666664</v>
      </c>
      <c r="J167" s="116" cm="1">
        <f t="array" ref="J167">IF(C167=0,"-",_xlfn.STDEV.S(_xlfn._xlws.FILTER(YB_3[TakTijd],YB_3[Groep]=A167)))</f>
        <v>11.59022576714248</v>
      </c>
    </row>
    <row r="168" spans="1:10" x14ac:dyDescent="0.2">
      <c r="A168" t="s">
        <v>567</v>
      </c>
      <c r="B168" s="111">
        <f>COUNTIF(YB_3[Groep],"="&amp;A168)</f>
        <v>4</v>
      </c>
      <c r="C168" s="111">
        <f>COUNTIFS(YB_3[Groep],"="&amp;A168,YB_3[Afrondingsdatum],"&lt;&gt;N/A")</f>
        <v>3</v>
      </c>
      <c r="D168" s="111">
        <f>COUNTIFS(YB_3[Groep],"="&amp;A168,YB_3[Afrondingsdatum],"=N/A")</f>
        <v>1</v>
      </c>
      <c r="E168" s="67">
        <f>C168/B168</f>
        <v>0.75</v>
      </c>
      <c r="F168" s="112" cm="1">
        <f t="array" ref="F168">MIN(_xlfn._xlws.FILTER(YB_3[TakTijd],YB_3[Groep]=A168))</f>
        <v>44</v>
      </c>
      <c r="G168" s="112" cm="1">
        <f t="array" ref="G168">MAX(_xlfn._xlws.FILTER(YB_3[TakTijd],YB_3[Groep]=A168))</f>
        <v>76</v>
      </c>
      <c r="H168" s="72">
        <f>G168-F168</f>
        <v>32</v>
      </c>
      <c r="I168" s="116" cm="1">
        <f t="array" ref="I168">IF(C168=0,"-",AVERAGE(_xlfn._xlws.FILTER(YB_3[TakTijd],YB_3[Groep]=A168)))</f>
        <v>61.333333333333336</v>
      </c>
      <c r="J168" s="116" cm="1">
        <f t="array" ref="J168">IF(C168=0,"-",_xlfn.STDEV.S(_xlfn._xlws.FILTER(YB_3[TakTijd],YB_3[Groep]=A168)))</f>
        <v>16.165807537309512</v>
      </c>
    </row>
    <row r="169" spans="1:10" x14ac:dyDescent="0.2">
      <c r="A169" t="s">
        <v>568</v>
      </c>
      <c r="B169" s="111">
        <f>COUNTIF(YB_3[Groep],"="&amp;A169)</f>
        <v>4</v>
      </c>
      <c r="C169" s="111">
        <f>COUNTIFS(YB_3[Groep],"="&amp;A169,YB_3[Afrondingsdatum],"&lt;&gt;N/A")</f>
        <v>4</v>
      </c>
      <c r="D169" s="111">
        <f>COUNTIFS(YB_3[Groep],"="&amp;A169,YB_3[Afrondingsdatum],"=N/A")</f>
        <v>0</v>
      </c>
      <c r="E169" s="67">
        <f>C169/B169</f>
        <v>1</v>
      </c>
      <c r="F169" s="112" cm="1">
        <f t="array" ref="F169">MIN(_xlfn._xlws.FILTER(YB_3[TakTijd],YB_3[Groep]=A169))</f>
        <v>55</v>
      </c>
      <c r="G169" s="112" cm="1">
        <f t="array" ref="G169">MAX(_xlfn._xlws.FILTER(YB_3[TakTijd],YB_3[Groep]=A169))</f>
        <v>63</v>
      </c>
      <c r="H169" s="72">
        <f>G169-F169</f>
        <v>8</v>
      </c>
      <c r="I169" s="116" cm="1">
        <f t="array" ref="I169">IF(C169=0,"-",AVERAGE(_xlfn._xlws.FILTER(YB_3[TakTijd],YB_3[Groep]=A169)))</f>
        <v>59.5</v>
      </c>
      <c r="J169" s="116" cm="1">
        <f t="array" ref="J169">IF(C169=0,"-",_xlfn.STDEV.S(_xlfn._xlws.FILTER(YB_3[TakTijd],YB_3[Groep]=A169)))</f>
        <v>4.1231056256176606</v>
      </c>
    </row>
    <row r="170" spans="1:10" x14ac:dyDescent="0.2">
      <c r="A170" t="s">
        <v>569</v>
      </c>
      <c r="B170" s="111">
        <f>COUNTIF(YB_3[Groep],"="&amp;A170)</f>
        <v>2</v>
      </c>
      <c r="C170" s="111">
        <f>COUNTIFS(YB_3[Groep],"="&amp;A170,YB_3[Afrondingsdatum],"&lt;&gt;N/A")</f>
        <v>2</v>
      </c>
      <c r="D170" s="111">
        <f>COUNTIFS(YB_3[Groep],"="&amp;A170,YB_3[Afrondingsdatum],"=N/A")</f>
        <v>0</v>
      </c>
      <c r="E170" s="67">
        <f>C170/B170</f>
        <v>1</v>
      </c>
      <c r="F170" s="112" cm="1">
        <f t="array" ref="F170">MIN(_xlfn._xlws.FILTER(YB_3[TakTijd],YB_3[Groep]=A170))</f>
        <v>63</v>
      </c>
      <c r="G170" s="112" cm="1">
        <f t="array" ref="G170">MAX(_xlfn._xlws.FILTER(YB_3[TakTijd],YB_3[Groep]=A170))</f>
        <v>75</v>
      </c>
      <c r="H170" s="72">
        <f>G170-F170</f>
        <v>12</v>
      </c>
      <c r="I170" s="116" cm="1">
        <f t="array" ref="I170">IF(C170=0,"-",AVERAGE(_xlfn._xlws.FILTER(YB_3[TakTijd],YB_3[Groep]=A170)))</f>
        <v>69</v>
      </c>
      <c r="J170" s="116" cm="1">
        <f t="array" ref="J170">IF(C170=0,"-",_xlfn.STDEV.S(_xlfn._xlws.FILTER(YB_3[TakTijd],YB_3[Groep]=A170)))</f>
        <v>8.4852813742385695</v>
      </c>
    </row>
    <row r="171" spans="1:10" x14ac:dyDescent="0.2">
      <c r="A171" t="s">
        <v>562</v>
      </c>
      <c r="B171" s="52">
        <f>COUNTIF(YB_3[Groep],"="&amp;A171)</f>
        <v>4</v>
      </c>
      <c r="C171" s="52">
        <f>COUNTIFS(YB_3[Groep],"="&amp;A171,YB_3[Afrondingsdatum],"&lt;&gt;N/A")</f>
        <v>4</v>
      </c>
      <c r="D171" s="52">
        <f>COUNTIFS(YB_3[Groep],"="&amp;A171,YB_3[Afrondingsdatum],"=N/A")</f>
        <v>0</v>
      </c>
      <c r="E171" s="114">
        <f>C171/B171</f>
        <v>1</v>
      </c>
      <c r="F171" s="105" cm="1">
        <f t="array" ref="F171">MIN(_xlfn._xlws.FILTER(YB_3[TakTijd],YB_3[Groep]=A171))</f>
        <v>44</v>
      </c>
      <c r="G171" s="105" cm="1">
        <f t="array" ref="G171">MAX(_xlfn._xlws.FILTER(YB_3[TakTijd],YB_3[Groep]=A171))</f>
        <v>65</v>
      </c>
      <c r="H171" s="105">
        <f>G171-F171</f>
        <v>21</v>
      </c>
      <c r="I171" s="125" cm="1">
        <f t="array" ref="I171">IF(C171=0,"-",AVERAGE(_xlfn._xlws.FILTER(YB_3[TakTijd],YB_3[Groep]=A171)))</f>
        <v>53.25</v>
      </c>
      <c r="J171" s="125" cm="1">
        <f t="array" ref="J171">IF(C171=0,"-",_xlfn.STDEV.S(_xlfn._xlws.FILTER(YB_3[TakTijd],YB_3[Groep]=A171)))</f>
        <v>10.874281585465774</v>
      </c>
    </row>
    <row r="172" spans="1:10" x14ac:dyDescent="0.2">
      <c r="B172">
        <f>SUM(B140:B171)</f>
        <v>116</v>
      </c>
      <c r="C172">
        <f>SUM(C140:C171)</f>
        <v>91</v>
      </c>
      <c r="D172">
        <f>SUM(D140:D171)</f>
        <v>25</v>
      </c>
      <c r="E172" s="67">
        <f>C172/B172</f>
        <v>0.78448275862068961</v>
      </c>
      <c r="F172" s="72">
        <f>MIN(YB_3[TakTijd])</f>
        <v>18</v>
      </c>
      <c r="G172" s="72">
        <f>MAX(YB_3[TakTijd])</f>
        <v>80</v>
      </c>
      <c r="H172" s="72">
        <f>G172-F172</f>
        <v>62</v>
      </c>
      <c r="I172" s="71">
        <f>AVERAGE(YB_3[TakTijd])</f>
        <v>53.934065934065934</v>
      </c>
      <c r="J172" s="71">
        <f>_xlfn.STDEV.S(YB_3[TakTijd])</f>
        <v>12.379914016755977</v>
      </c>
    </row>
    <row r="174" spans="1:10" x14ac:dyDescent="0.2">
      <c r="A174" t="s">
        <v>587</v>
      </c>
    </row>
    <row r="175" spans="1:10" x14ac:dyDescent="0.2">
      <c r="A175">
        <f>COUNTA(_xlfn.UNIQUE(A141:A171))</f>
        <v>31</v>
      </c>
      <c r="E175" s="57">
        <v>0</v>
      </c>
      <c r="F175">
        <f>COUNTIF(E$141:E$171,E175)</f>
        <v>2</v>
      </c>
    </row>
    <row r="176" spans="1:10" x14ac:dyDescent="0.2">
      <c r="E176" s="57">
        <v>0.4</v>
      </c>
      <c r="F176">
        <f>COUNTIF(E$141:E$171,E176)</f>
        <v>1</v>
      </c>
    </row>
    <row r="177" spans="5:6" x14ac:dyDescent="0.2">
      <c r="E177" s="57">
        <v>0.5</v>
      </c>
      <c r="F177">
        <f>COUNTIF(E$141:E$171,E177)</f>
        <v>1</v>
      </c>
    </row>
    <row r="178" spans="5:6" x14ac:dyDescent="0.2">
      <c r="E178" s="57">
        <v>0.6</v>
      </c>
      <c r="F178">
        <f>COUNTIF(E$141:E$171,E178)</f>
        <v>1</v>
      </c>
    </row>
    <row r="179" spans="5:6" x14ac:dyDescent="0.2">
      <c r="E179" s="67">
        <v>0.66666666666666663</v>
      </c>
      <c r="F179">
        <f>COUNTIF(E$141:E$171,E179)</f>
        <v>2</v>
      </c>
    </row>
    <row r="180" spans="5:6" x14ac:dyDescent="0.2">
      <c r="E180" s="57">
        <v>0.75</v>
      </c>
      <c r="F180">
        <f>COUNTIF(E$141:E$171,E180)</f>
        <v>7</v>
      </c>
    </row>
    <row r="181" spans="5:6" x14ac:dyDescent="0.2">
      <c r="E181" s="57">
        <v>0.8</v>
      </c>
      <c r="F181">
        <f>COUNTIF(E$141:E$171,E181)</f>
        <v>1</v>
      </c>
    </row>
    <row r="182" spans="5:6" x14ac:dyDescent="0.2">
      <c r="E182" s="57">
        <v>1</v>
      </c>
      <c r="F182" s="52">
        <f>COUNTIF(E$141:E$171,E182)</f>
        <v>16</v>
      </c>
    </row>
    <row r="183" spans="5:6" x14ac:dyDescent="0.2">
      <c r="F183" s="126">
        <f>SUM(F175:F182)</f>
        <v>31</v>
      </c>
    </row>
    <row r="185" spans="5:6" x14ac:dyDescent="0.2">
      <c r="E185" t="s">
        <v>588</v>
      </c>
    </row>
  </sheetData>
  <conditionalFormatting sqref="E19">
    <cfRule type="duplicateValues" dxfId="71" priority="2"/>
  </conditionalFormatting>
  <conditionalFormatting sqref="E66">
    <cfRule type="duplicateValues" dxfId="70" priority="1"/>
  </conditionalFormatting>
  <conditionalFormatting sqref="E77:E104 E106:E107">
    <cfRule type="duplicateValues" dxfId="69" priority="6"/>
  </conditionalFormatting>
  <conditionalFormatting sqref="E110">
    <cfRule type="duplicateValues" dxfId="68" priority="5"/>
  </conditionalFormatting>
  <conditionalFormatting sqref="E111">
    <cfRule type="duplicateValues" dxfId="67" priority="4"/>
  </conditionalFormatting>
  <conditionalFormatting sqref="E112">
    <cfRule type="duplicateValues" dxfId="66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170D-C3CC-6B49-B4FF-37F04BA27B01}">
  <dimension ref="A1:Y133"/>
  <sheetViews>
    <sheetView topLeftCell="D26" workbookViewId="0">
      <selection activeCell="N115" sqref="N115"/>
    </sheetView>
  </sheetViews>
  <sheetFormatPr baseColWidth="10" defaultRowHeight="16" x14ac:dyDescent="0.2"/>
  <cols>
    <col min="3" max="3" width="13.1640625" customWidth="1"/>
    <col min="4" max="4" width="14.33203125" customWidth="1"/>
    <col min="6" max="6" width="9.6640625" bestFit="1" customWidth="1"/>
    <col min="7" max="7" width="29.83203125" bestFit="1" customWidth="1"/>
    <col min="8" max="8" width="17.33203125" bestFit="1" customWidth="1"/>
    <col min="9" max="9" width="24.1640625" bestFit="1" customWidth="1"/>
    <col min="10" max="10" width="23.1640625" bestFit="1" customWidth="1"/>
    <col min="11" max="11" width="18" bestFit="1" customWidth="1"/>
    <col min="12" max="12" width="20.1640625" bestFit="1" customWidth="1"/>
  </cols>
  <sheetData>
    <row r="1" spans="1:25" x14ac:dyDescent="0.2">
      <c r="A1" s="90" t="s">
        <v>361</v>
      </c>
      <c r="B1" s="89" t="s">
        <v>279</v>
      </c>
      <c r="C1" s="102" t="s">
        <v>278</v>
      </c>
      <c r="D1" s="89" t="s">
        <v>417</v>
      </c>
      <c r="E1" s="89" t="s">
        <v>5</v>
      </c>
      <c r="F1" s="89" t="s">
        <v>277</v>
      </c>
      <c r="G1" s="89" t="s">
        <v>0</v>
      </c>
      <c r="H1" s="90" t="s">
        <v>387</v>
      </c>
      <c r="I1" s="90" t="s">
        <v>386</v>
      </c>
      <c r="J1" s="91" t="s">
        <v>385</v>
      </c>
      <c r="K1" s="90" t="s">
        <v>384</v>
      </c>
      <c r="L1" s="90" t="s">
        <v>416</v>
      </c>
      <c r="M1" s="90" t="s">
        <v>546</v>
      </c>
      <c r="N1" s="90" t="s">
        <v>550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 s="4" t="s">
        <v>360</v>
      </c>
      <c r="Y1" s="9"/>
    </row>
    <row r="2" spans="1:25" x14ac:dyDescent="0.2">
      <c r="A2" s="80" t="s">
        <v>425</v>
      </c>
      <c r="B2" s="80">
        <v>1</v>
      </c>
      <c r="C2" s="101">
        <v>13</v>
      </c>
      <c r="D2" s="82">
        <v>45173</v>
      </c>
      <c r="E2" s="82">
        <v>45257</v>
      </c>
      <c r="F2" s="82" t="s">
        <v>363</v>
      </c>
      <c r="G2" s="81" t="s">
        <v>10</v>
      </c>
      <c r="H2" s="86">
        <v>1</v>
      </c>
      <c r="I2" s="81" t="s">
        <v>110</v>
      </c>
      <c r="J2" s="85">
        <v>45197</v>
      </c>
      <c r="K2" s="86">
        <v>0.98</v>
      </c>
      <c r="L2" s="87">
        <f>IF(YB[[#This Row],[Afrondingsdatum YB]]="N/A","-",YB[[#This Row],[Afrondingsdatum YB]]-YB[[#This Row],[StartDatum]])</f>
        <v>24</v>
      </c>
      <c r="M2" s="119"/>
      <c r="N2" s="124" t="s">
        <v>8</v>
      </c>
      <c r="P2">
        <f>CODE(MID($G2,P$1,1))</f>
        <v>97</v>
      </c>
      <c r="Q2">
        <f t="shared" ref="Q2:W17" si="0">CODE(MID($G2,Q$1,1))</f>
        <v>100</v>
      </c>
      <c r="R2">
        <f t="shared" si="0"/>
        <v>97</v>
      </c>
      <c r="S2">
        <f t="shared" si="0"/>
        <v>109</v>
      </c>
      <c r="T2">
        <f t="shared" si="0"/>
        <v>46</v>
      </c>
      <c r="U2">
        <f t="shared" si="0"/>
        <v>97</v>
      </c>
      <c r="V2">
        <f t="shared" si="0"/>
        <v>116</v>
      </c>
      <c r="W2">
        <f t="shared" si="0"/>
        <v>116</v>
      </c>
      <c r="X2" s="5">
        <f>ROUND((P2*P$1+Q2/Q$1+R2*R$1+S2/S$1)+SUM(T2:W2),0)</f>
        <v>840</v>
      </c>
      <c r="Y2" s="9" t="str">
        <f>MID(F2,2,1)&amp;TEXT(X2,"###")</f>
        <v>C840</v>
      </c>
    </row>
    <row r="3" spans="1:25" x14ac:dyDescent="0.2">
      <c r="A3" s="76" t="s">
        <v>425</v>
      </c>
      <c r="B3" s="76">
        <v>1</v>
      </c>
      <c r="C3" s="76">
        <v>13</v>
      </c>
      <c r="D3" s="77">
        <v>45173</v>
      </c>
      <c r="E3" s="77">
        <v>45257</v>
      </c>
      <c r="F3" s="77" t="s">
        <v>362</v>
      </c>
      <c r="G3" s="35" t="s">
        <v>11</v>
      </c>
      <c r="H3" s="36">
        <v>0.03</v>
      </c>
      <c r="I3" s="35" t="s">
        <v>111</v>
      </c>
      <c r="J3" s="35" t="s">
        <v>7</v>
      </c>
      <c r="K3" s="35" t="s">
        <v>9</v>
      </c>
      <c r="L3" s="88" t="str">
        <f>IF(YB[[#This Row],[Afrondingsdatum YB]]="N/A","-",YB[[#This Row],[Afrondingsdatum YB]]-YB[[#This Row],[StartDatum]])</f>
        <v>-</v>
      </c>
      <c r="M3" s="118"/>
      <c r="N3" s="118" t="s">
        <v>573</v>
      </c>
      <c r="P3">
        <f t="shared" ref="P3:W34" si="1">CODE(MID($G3,P$1,1))</f>
        <v>65</v>
      </c>
      <c r="Q3">
        <f t="shared" si="0"/>
        <v>100</v>
      </c>
      <c r="R3">
        <f t="shared" si="0"/>
        <v>105</v>
      </c>
      <c r="S3">
        <f t="shared" si="0"/>
        <v>108</v>
      </c>
      <c r="T3">
        <f t="shared" si="0"/>
        <v>46</v>
      </c>
      <c r="U3">
        <f t="shared" si="0"/>
        <v>106</v>
      </c>
      <c r="V3">
        <f t="shared" si="0"/>
        <v>111</v>
      </c>
      <c r="W3">
        <f t="shared" si="0"/>
        <v>117</v>
      </c>
      <c r="X3" s="5">
        <f t="shared" ref="X3:X66" si="2">ROUND((P3*P$1+Q3/Q$1+R3*R$1+S3/S$1)+SUM(T3:W3),0)</f>
        <v>837</v>
      </c>
      <c r="Y3" s="9" t="str">
        <f>MID(F3,2,1)&amp;TEXT(X3,"###")</f>
        <v>C837</v>
      </c>
    </row>
    <row r="4" spans="1:25" x14ac:dyDescent="0.2">
      <c r="A4" s="80" t="s">
        <v>425</v>
      </c>
      <c r="B4" s="80">
        <v>1</v>
      </c>
      <c r="C4" s="80">
        <v>13</v>
      </c>
      <c r="D4" s="82">
        <v>45173</v>
      </c>
      <c r="E4" s="82">
        <v>45257</v>
      </c>
      <c r="F4" s="82" t="s">
        <v>364</v>
      </c>
      <c r="G4" s="81" t="s">
        <v>12</v>
      </c>
      <c r="H4" s="86">
        <v>1</v>
      </c>
      <c r="I4" s="81" t="s">
        <v>140</v>
      </c>
      <c r="J4" s="85">
        <v>45219</v>
      </c>
      <c r="K4" s="86">
        <v>0.73</v>
      </c>
      <c r="L4" s="87">
        <f>IF(YB[[#This Row],[Afrondingsdatum YB]]="N/A","-",YB[[#This Row],[Afrondingsdatum YB]]-YB[[#This Row],[StartDatum]])</f>
        <v>46</v>
      </c>
      <c r="M4" s="117"/>
      <c r="N4" s="117" t="s">
        <v>566</v>
      </c>
      <c r="P4">
        <f t="shared" si="1"/>
        <v>97</v>
      </c>
      <c r="Q4">
        <f t="shared" si="0"/>
        <v>103</v>
      </c>
      <c r="R4">
        <f t="shared" si="0"/>
        <v>104</v>
      </c>
      <c r="S4">
        <f t="shared" si="0"/>
        <v>105</v>
      </c>
      <c r="T4">
        <f t="shared" si="0"/>
        <v>108</v>
      </c>
      <c r="U4">
        <f t="shared" si="0"/>
        <v>46</v>
      </c>
      <c r="V4">
        <f t="shared" si="0"/>
        <v>114</v>
      </c>
      <c r="W4">
        <f t="shared" si="0"/>
        <v>101</v>
      </c>
      <c r="X4" s="5">
        <f t="shared" si="2"/>
        <v>856</v>
      </c>
      <c r="Y4" s="9" t="str">
        <f>MID(F4,2,1)&amp;TEXT(X4,"###")</f>
        <v>C856</v>
      </c>
    </row>
    <row r="5" spans="1:25" x14ac:dyDescent="0.2">
      <c r="A5" s="76" t="s">
        <v>425</v>
      </c>
      <c r="B5" s="76">
        <v>1</v>
      </c>
      <c r="C5" s="76">
        <v>13</v>
      </c>
      <c r="D5" s="77">
        <v>45173</v>
      </c>
      <c r="E5" s="77">
        <v>45257</v>
      </c>
      <c r="F5" s="77" t="s">
        <v>362</v>
      </c>
      <c r="G5" s="35" t="s">
        <v>113</v>
      </c>
      <c r="H5" s="36">
        <v>0.96</v>
      </c>
      <c r="I5" s="35" t="s">
        <v>164</v>
      </c>
      <c r="J5" s="35" t="s">
        <v>7</v>
      </c>
      <c r="K5" s="35" t="s">
        <v>9</v>
      </c>
      <c r="L5" s="88" t="str">
        <f>IF(YB[[#This Row],[Afrondingsdatum YB]]="N/A","-",YB[[#This Row],[Afrondingsdatum YB]]-YB[[#This Row],[StartDatum]])</f>
        <v>-</v>
      </c>
      <c r="M5" s="118"/>
      <c r="N5" s="118" t="s">
        <v>571</v>
      </c>
      <c r="P5">
        <f t="shared" si="1"/>
        <v>97</v>
      </c>
      <c r="Q5">
        <f t="shared" si="0"/>
        <v>109</v>
      </c>
      <c r="R5">
        <f t="shared" si="0"/>
        <v>105</v>
      </c>
      <c r="S5">
        <f t="shared" si="0"/>
        <v>110</v>
      </c>
      <c r="T5">
        <f t="shared" si="0"/>
        <v>46</v>
      </c>
      <c r="U5">
        <f t="shared" si="0"/>
        <v>99</v>
      </c>
      <c r="V5">
        <f t="shared" si="0"/>
        <v>104</v>
      </c>
      <c r="W5">
        <f t="shared" si="0"/>
        <v>101</v>
      </c>
      <c r="X5" s="5">
        <f t="shared" si="2"/>
        <v>844</v>
      </c>
      <c r="Y5" s="9" t="str">
        <f>MID(F5,2,1)&amp;TEXT(X5,"###")</f>
        <v>C844</v>
      </c>
    </row>
    <row r="6" spans="1:25" x14ac:dyDescent="0.2">
      <c r="A6" s="80" t="s">
        <v>425</v>
      </c>
      <c r="B6" s="80">
        <v>1</v>
      </c>
      <c r="C6" s="80">
        <v>13</v>
      </c>
      <c r="D6" s="82">
        <v>45173</v>
      </c>
      <c r="E6" s="82">
        <v>45257</v>
      </c>
      <c r="F6" s="82" t="s">
        <v>364</v>
      </c>
      <c r="G6" s="81" t="s">
        <v>13</v>
      </c>
      <c r="H6" s="86">
        <v>1</v>
      </c>
      <c r="I6" s="81" t="s">
        <v>97</v>
      </c>
      <c r="J6" s="81" t="s">
        <v>7</v>
      </c>
      <c r="K6" s="86">
        <v>0.55000000000000004</v>
      </c>
      <c r="L6" s="87" t="str">
        <f>IF(YB[[#This Row],[Afrondingsdatum YB]]="N/A","-",YB[[#This Row],[Afrondingsdatum YB]]-YB[[#This Row],[StartDatum]])</f>
        <v>-</v>
      </c>
      <c r="M6" s="117"/>
      <c r="N6" s="117" t="s">
        <v>567</v>
      </c>
      <c r="P6">
        <f t="shared" si="1"/>
        <v>97</v>
      </c>
      <c r="Q6">
        <f t="shared" si="0"/>
        <v>109</v>
      </c>
      <c r="R6">
        <f t="shared" si="0"/>
        <v>105</v>
      </c>
      <c r="S6">
        <f t="shared" si="0"/>
        <v>110</v>
      </c>
      <c r="T6">
        <f t="shared" si="0"/>
        <v>101</v>
      </c>
      <c r="U6">
        <f t="shared" si="0"/>
        <v>46</v>
      </c>
      <c r="V6">
        <f t="shared" si="0"/>
        <v>101</v>
      </c>
      <c r="W6">
        <f t="shared" si="0"/>
        <v>108</v>
      </c>
      <c r="X6" s="5">
        <f t="shared" si="2"/>
        <v>850</v>
      </c>
      <c r="Y6" s="9" t="str">
        <f>MID(F6,2,1)&amp;TEXT(X6,"###")</f>
        <v>C850</v>
      </c>
    </row>
    <row r="7" spans="1:25" x14ac:dyDescent="0.2">
      <c r="A7" s="76" t="s">
        <v>425</v>
      </c>
      <c r="B7" s="76">
        <v>1</v>
      </c>
      <c r="C7" s="76">
        <v>13</v>
      </c>
      <c r="D7" s="77">
        <v>45173</v>
      </c>
      <c r="E7" s="77">
        <v>45257</v>
      </c>
      <c r="F7" s="77" t="s">
        <v>363</v>
      </c>
      <c r="G7" s="35" t="s">
        <v>14</v>
      </c>
      <c r="H7" s="36">
        <v>0.68</v>
      </c>
      <c r="I7" s="35" t="s">
        <v>166</v>
      </c>
      <c r="J7" s="35" t="s">
        <v>7</v>
      </c>
      <c r="K7" s="35" t="s">
        <v>9</v>
      </c>
      <c r="L7" s="88" t="str">
        <f>IF(YB[[#This Row],[Afrondingsdatum YB]]="N/A","-",YB[[#This Row],[Afrondingsdatum YB]]-YB[[#This Row],[StartDatum]])</f>
        <v>-</v>
      </c>
      <c r="M7" s="118"/>
      <c r="N7" s="118" t="s">
        <v>578</v>
      </c>
      <c r="P7">
        <f t="shared" si="1"/>
        <v>97</v>
      </c>
      <c r="Q7">
        <f t="shared" si="0"/>
        <v>110</v>
      </c>
      <c r="R7">
        <f t="shared" si="0"/>
        <v>103</v>
      </c>
      <c r="S7">
        <f t="shared" si="0"/>
        <v>101</v>
      </c>
      <c r="T7">
        <f t="shared" si="0"/>
        <v>108</v>
      </c>
      <c r="U7">
        <f t="shared" si="0"/>
        <v>111</v>
      </c>
      <c r="V7">
        <f t="shared" si="0"/>
        <v>46</v>
      </c>
      <c r="W7">
        <f t="shared" si="0"/>
        <v>115</v>
      </c>
      <c r="X7" s="5">
        <f t="shared" si="2"/>
        <v>866</v>
      </c>
      <c r="Y7" s="9" t="str">
        <f>MID(F7,2,1)&amp;TEXT(X7,"###")</f>
        <v>C866</v>
      </c>
    </row>
    <row r="8" spans="1:25" x14ac:dyDescent="0.2">
      <c r="A8" s="80" t="s">
        <v>425</v>
      </c>
      <c r="B8" s="80">
        <v>1</v>
      </c>
      <c r="C8" s="80">
        <v>13</v>
      </c>
      <c r="D8" s="82">
        <v>45173</v>
      </c>
      <c r="E8" s="82">
        <v>45257</v>
      </c>
      <c r="F8" s="82" t="s">
        <v>362</v>
      </c>
      <c r="G8" s="81" t="s">
        <v>15</v>
      </c>
      <c r="H8" s="86">
        <v>1</v>
      </c>
      <c r="I8" s="81" t="s">
        <v>215</v>
      </c>
      <c r="J8" s="85">
        <v>45238</v>
      </c>
      <c r="K8" s="86">
        <v>0.75</v>
      </c>
      <c r="L8" s="87">
        <f>IF(YB[[#This Row],[Afrondingsdatum YB]]="N/A","-",YB[[#This Row],[Afrondingsdatum YB]]-YB[[#This Row],[StartDatum]])</f>
        <v>65</v>
      </c>
      <c r="M8" s="117"/>
      <c r="N8" s="117" t="s">
        <v>571</v>
      </c>
      <c r="P8">
        <f t="shared" si="1"/>
        <v>97</v>
      </c>
      <c r="Q8">
        <f t="shared" si="0"/>
        <v>115</v>
      </c>
      <c r="R8">
        <f t="shared" si="0"/>
        <v>104</v>
      </c>
      <c r="S8">
        <f t="shared" si="0"/>
        <v>111</v>
      </c>
      <c r="T8">
        <f t="shared" si="0"/>
        <v>101</v>
      </c>
      <c r="U8">
        <f t="shared" si="0"/>
        <v>116</v>
      </c>
      <c r="V8">
        <f t="shared" si="0"/>
        <v>111</v>
      </c>
      <c r="W8">
        <f t="shared" si="0"/>
        <v>115</v>
      </c>
      <c r="X8" s="5">
        <f t="shared" si="2"/>
        <v>937</v>
      </c>
      <c r="Y8" s="9" t="str">
        <f>MID(F8,2,1)&amp;TEXT(X8,"###")</f>
        <v>C937</v>
      </c>
    </row>
    <row r="9" spans="1:25" x14ac:dyDescent="0.2">
      <c r="A9" s="76" t="s">
        <v>425</v>
      </c>
      <c r="B9" s="76">
        <v>1</v>
      </c>
      <c r="C9" s="76">
        <v>13</v>
      </c>
      <c r="D9" s="77">
        <v>45173</v>
      </c>
      <c r="E9" s="77">
        <v>45257</v>
      </c>
      <c r="F9" s="77" t="s">
        <v>364</v>
      </c>
      <c r="G9" s="35" t="s">
        <v>16</v>
      </c>
      <c r="H9" s="36">
        <v>1</v>
      </c>
      <c r="I9" s="35" t="s">
        <v>255</v>
      </c>
      <c r="J9" s="37">
        <v>45236</v>
      </c>
      <c r="K9" s="36">
        <v>0.85</v>
      </c>
      <c r="L9" s="88">
        <f>IF(YB[[#This Row],[Afrondingsdatum YB]]="N/A","-",YB[[#This Row],[Afrondingsdatum YB]]-YB[[#This Row],[StartDatum]])</f>
        <v>63</v>
      </c>
      <c r="M9" s="118"/>
      <c r="N9" s="118" t="s">
        <v>563</v>
      </c>
      <c r="P9">
        <f t="shared" si="1"/>
        <v>97</v>
      </c>
      <c r="Q9">
        <f t="shared" si="0"/>
        <v>121</v>
      </c>
      <c r="R9">
        <f t="shared" si="0"/>
        <v>100</v>
      </c>
      <c r="S9">
        <f t="shared" si="0"/>
        <v>101</v>
      </c>
      <c r="T9">
        <f t="shared" si="0"/>
        <v>110</v>
      </c>
      <c r="U9">
        <f t="shared" si="0"/>
        <v>46</v>
      </c>
      <c r="V9">
        <f t="shared" si="0"/>
        <v>97</v>
      </c>
      <c r="W9">
        <f t="shared" si="0"/>
        <v>110</v>
      </c>
      <c r="X9" s="5">
        <f t="shared" si="2"/>
        <v>846</v>
      </c>
      <c r="Y9" s="9" t="str">
        <f>MID(F9,2,1)&amp;TEXT(X9,"###")</f>
        <v>C846</v>
      </c>
    </row>
    <row r="10" spans="1:25" x14ac:dyDescent="0.2">
      <c r="A10" s="80" t="s">
        <v>425</v>
      </c>
      <c r="B10" s="80">
        <v>1</v>
      </c>
      <c r="C10" s="80">
        <v>13</v>
      </c>
      <c r="D10" s="82">
        <v>45173</v>
      </c>
      <c r="E10" s="82">
        <v>45257</v>
      </c>
      <c r="F10" s="82" t="s">
        <v>362</v>
      </c>
      <c r="G10" s="81" t="s">
        <v>17</v>
      </c>
      <c r="H10" s="86">
        <v>1</v>
      </c>
      <c r="I10" s="81" t="s">
        <v>256</v>
      </c>
      <c r="J10" s="85">
        <v>45240</v>
      </c>
      <c r="K10" s="86">
        <v>0.75</v>
      </c>
      <c r="L10" s="87">
        <f>IF(YB[[#This Row],[Afrondingsdatum YB]]="N/A","-",YB[[#This Row],[Afrondingsdatum YB]]-YB[[#This Row],[StartDatum]])</f>
        <v>67</v>
      </c>
      <c r="M10" s="117"/>
      <c r="N10" s="117" t="s">
        <v>573</v>
      </c>
      <c r="P10">
        <f t="shared" si="1"/>
        <v>98</v>
      </c>
      <c r="Q10">
        <f t="shared" si="0"/>
        <v>101</v>
      </c>
      <c r="R10">
        <f t="shared" si="0"/>
        <v>116</v>
      </c>
      <c r="S10">
        <f t="shared" si="0"/>
        <v>117</v>
      </c>
      <c r="T10">
        <f t="shared" si="0"/>
        <v>108</v>
      </c>
      <c r="U10">
        <f t="shared" si="0"/>
        <v>46</v>
      </c>
      <c r="V10">
        <f t="shared" si="0"/>
        <v>121</v>
      </c>
      <c r="W10">
        <f t="shared" si="0"/>
        <v>117</v>
      </c>
      <c r="X10" s="5">
        <f t="shared" si="2"/>
        <v>918</v>
      </c>
      <c r="Y10" s="9" t="str">
        <f>MID(F10,2,1)&amp;TEXT(X10,"###")</f>
        <v>C918</v>
      </c>
    </row>
    <row r="11" spans="1:25" x14ac:dyDescent="0.2">
      <c r="A11" s="76" t="s">
        <v>425</v>
      </c>
      <c r="B11" s="76">
        <v>1</v>
      </c>
      <c r="C11" s="76">
        <v>13</v>
      </c>
      <c r="D11" s="77">
        <v>45173</v>
      </c>
      <c r="E11" s="77">
        <v>45257</v>
      </c>
      <c r="F11" s="77" t="s">
        <v>364</v>
      </c>
      <c r="G11" s="35" t="s">
        <v>115</v>
      </c>
      <c r="H11" s="36">
        <v>1</v>
      </c>
      <c r="I11" s="35" t="s">
        <v>167</v>
      </c>
      <c r="J11" s="37">
        <v>45237</v>
      </c>
      <c r="K11" s="36">
        <v>0.78</v>
      </c>
      <c r="L11" s="88">
        <f>IF(YB[[#This Row],[Afrondingsdatum YB]]="N/A","-",YB[[#This Row],[Afrondingsdatum YB]]-YB[[#This Row],[StartDatum]])</f>
        <v>64</v>
      </c>
      <c r="M11" s="118"/>
      <c r="N11" s="118" t="s">
        <v>563</v>
      </c>
      <c r="P11">
        <f t="shared" si="1"/>
        <v>98</v>
      </c>
      <c r="Q11">
        <f t="shared" si="0"/>
        <v>106</v>
      </c>
      <c r="R11">
        <f t="shared" si="0"/>
        <v>111</v>
      </c>
      <c r="S11">
        <f t="shared" si="0"/>
        <v>114</v>
      </c>
      <c r="T11">
        <f t="shared" si="0"/>
        <v>110</v>
      </c>
      <c r="U11">
        <f t="shared" si="0"/>
        <v>108</v>
      </c>
      <c r="V11">
        <f t="shared" si="0"/>
        <v>101</v>
      </c>
      <c r="W11">
        <f t="shared" si="0"/>
        <v>118</v>
      </c>
      <c r="X11" s="5">
        <f t="shared" si="2"/>
        <v>950</v>
      </c>
      <c r="Y11" s="9" t="str">
        <f>MID(F11,2,1)&amp;TEXT(X11,"###")</f>
        <v>C950</v>
      </c>
    </row>
    <row r="12" spans="1:25" x14ac:dyDescent="0.2">
      <c r="A12" s="80" t="s">
        <v>425</v>
      </c>
      <c r="B12" s="80">
        <v>1</v>
      </c>
      <c r="C12" s="80">
        <v>13</v>
      </c>
      <c r="D12" s="82">
        <v>45173</v>
      </c>
      <c r="E12" s="82">
        <v>45257</v>
      </c>
      <c r="F12" s="82" t="s">
        <v>363</v>
      </c>
      <c r="G12" s="81" t="s">
        <v>18</v>
      </c>
      <c r="H12" s="86">
        <v>1</v>
      </c>
      <c r="I12" s="81" t="s">
        <v>202</v>
      </c>
      <c r="J12" s="85">
        <v>45227</v>
      </c>
      <c r="K12" s="86">
        <v>0.73</v>
      </c>
      <c r="L12" s="87">
        <f>IF(YB[[#This Row],[Afrondingsdatum YB]]="N/A","-",YB[[#This Row],[Afrondingsdatum YB]]-YB[[#This Row],[StartDatum]])</f>
        <v>54</v>
      </c>
      <c r="M12" s="117"/>
      <c r="N12" s="117" t="s">
        <v>581</v>
      </c>
      <c r="P12">
        <f t="shared" si="1"/>
        <v>98</v>
      </c>
      <c r="Q12">
        <f t="shared" si="0"/>
        <v>114</v>
      </c>
      <c r="R12">
        <f t="shared" si="0"/>
        <v>101</v>
      </c>
      <c r="S12">
        <f t="shared" si="0"/>
        <v>116</v>
      </c>
      <c r="T12">
        <f t="shared" si="0"/>
        <v>104</v>
      </c>
      <c r="U12">
        <f t="shared" si="0"/>
        <v>46</v>
      </c>
      <c r="V12">
        <f t="shared" si="0"/>
        <v>108</v>
      </c>
      <c r="W12">
        <f t="shared" si="0"/>
        <v>97</v>
      </c>
      <c r="X12" s="5">
        <f t="shared" si="2"/>
        <v>842</v>
      </c>
      <c r="Y12" s="9" t="str">
        <f>MID(F12,2,1)&amp;TEXT(X12,"###")</f>
        <v>C842</v>
      </c>
    </row>
    <row r="13" spans="1:25" x14ac:dyDescent="0.2">
      <c r="A13" s="76" t="s">
        <v>425</v>
      </c>
      <c r="B13" s="76">
        <v>1</v>
      </c>
      <c r="C13" s="76">
        <v>13</v>
      </c>
      <c r="D13" s="77">
        <v>45173</v>
      </c>
      <c r="E13" s="77">
        <v>45257</v>
      </c>
      <c r="F13" s="77" t="s">
        <v>364</v>
      </c>
      <c r="G13" s="35" t="s">
        <v>19</v>
      </c>
      <c r="H13" s="36">
        <v>1</v>
      </c>
      <c r="I13" s="35" t="s">
        <v>170</v>
      </c>
      <c r="J13" s="37">
        <v>45212</v>
      </c>
      <c r="K13" s="36">
        <v>0.83</v>
      </c>
      <c r="L13" s="88">
        <f>IF(YB[[#This Row],[Afrondingsdatum YB]]="N/A","-",YB[[#This Row],[Afrondingsdatum YB]]-YB[[#This Row],[StartDatum]])</f>
        <v>39</v>
      </c>
      <c r="M13" s="118"/>
      <c r="N13" s="118" t="s">
        <v>564</v>
      </c>
      <c r="P13">
        <f t="shared" si="1"/>
        <v>99</v>
      </c>
      <c r="Q13">
        <f t="shared" si="0"/>
        <v>104</v>
      </c>
      <c r="R13">
        <f t="shared" si="0"/>
        <v>97</v>
      </c>
      <c r="S13">
        <f t="shared" si="0"/>
        <v>114</v>
      </c>
      <c r="T13">
        <f t="shared" si="0"/>
        <v>108</v>
      </c>
      <c r="U13">
        <f t="shared" si="0"/>
        <v>101</v>
      </c>
      <c r="V13">
        <f t="shared" si="0"/>
        <v>110</v>
      </c>
      <c r="W13">
        <f t="shared" si="0"/>
        <v>101</v>
      </c>
      <c r="X13" s="5">
        <f t="shared" si="2"/>
        <v>891</v>
      </c>
      <c r="Y13" s="9" t="str">
        <f>MID(F13,2,1)&amp;TEXT(X13,"###")</f>
        <v>C891</v>
      </c>
    </row>
    <row r="14" spans="1:25" x14ac:dyDescent="0.2">
      <c r="A14" s="80" t="s">
        <v>425</v>
      </c>
      <c r="B14" s="80">
        <v>1</v>
      </c>
      <c r="C14" s="80">
        <v>13</v>
      </c>
      <c r="D14" s="82">
        <v>45173</v>
      </c>
      <c r="E14" s="82">
        <v>45257</v>
      </c>
      <c r="F14" s="82" t="s">
        <v>364</v>
      </c>
      <c r="G14" s="81" t="s">
        <v>20</v>
      </c>
      <c r="H14" s="86">
        <v>1</v>
      </c>
      <c r="I14" s="81" t="s">
        <v>171</v>
      </c>
      <c r="J14" s="85">
        <v>45209</v>
      </c>
      <c r="K14" s="86">
        <v>0.83</v>
      </c>
      <c r="L14" s="87">
        <f>IF(YB[[#This Row],[Afrondingsdatum YB]]="N/A","-",YB[[#This Row],[Afrondingsdatum YB]]-YB[[#This Row],[StartDatum]])</f>
        <v>36</v>
      </c>
      <c r="M14" s="117"/>
      <c r="N14" s="117" t="s">
        <v>564</v>
      </c>
      <c r="P14">
        <f t="shared" si="1"/>
        <v>99</v>
      </c>
      <c r="Q14">
        <f t="shared" si="0"/>
        <v>104</v>
      </c>
      <c r="R14">
        <f t="shared" si="0"/>
        <v>101</v>
      </c>
      <c r="S14">
        <f t="shared" si="0"/>
        <v>110</v>
      </c>
      <c r="T14">
        <f t="shared" si="0"/>
        <v>111</v>
      </c>
      <c r="U14">
        <f t="shared" si="0"/>
        <v>97</v>
      </c>
      <c r="V14">
        <f t="shared" si="0"/>
        <v>46</v>
      </c>
      <c r="W14">
        <f t="shared" si="0"/>
        <v>118</v>
      </c>
      <c r="X14" s="5">
        <f t="shared" si="2"/>
        <v>854</v>
      </c>
      <c r="Y14" s="9" t="str">
        <f>MID(F14,2,1)&amp;TEXT(X14,"###")</f>
        <v>C854</v>
      </c>
    </row>
    <row r="15" spans="1:25" x14ac:dyDescent="0.2">
      <c r="A15" s="76" t="s">
        <v>425</v>
      </c>
      <c r="B15" s="76">
        <v>1</v>
      </c>
      <c r="C15" s="76">
        <v>13</v>
      </c>
      <c r="D15" s="77">
        <v>45173</v>
      </c>
      <c r="E15" s="77">
        <v>45257</v>
      </c>
      <c r="F15" s="77" t="s">
        <v>364</v>
      </c>
      <c r="G15" s="35" t="s">
        <v>21</v>
      </c>
      <c r="H15" s="36">
        <v>1</v>
      </c>
      <c r="I15" s="35" t="s">
        <v>208</v>
      </c>
      <c r="J15" s="37">
        <v>45237</v>
      </c>
      <c r="K15" s="36">
        <v>0.73</v>
      </c>
      <c r="L15" s="88">
        <f>IF(YB[[#This Row],[Afrondingsdatum YB]]="N/A","-",YB[[#This Row],[Afrondingsdatum YB]]-YB[[#This Row],[StartDatum]])</f>
        <v>64</v>
      </c>
      <c r="M15" s="118"/>
      <c r="N15" s="118" t="s">
        <v>567</v>
      </c>
      <c r="P15">
        <f t="shared" si="1"/>
        <v>100</v>
      </c>
      <c r="Q15">
        <f t="shared" si="0"/>
        <v>97</v>
      </c>
      <c r="R15">
        <f t="shared" si="0"/>
        <v>115</v>
      </c>
      <c r="S15">
        <f t="shared" si="0"/>
        <v>116</v>
      </c>
      <c r="T15">
        <f t="shared" si="0"/>
        <v>97</v>
      </c>
      <c r="U15">
        <f t="shared" si="0"/>
        <v>110</v>
      </c>
      <c r="V15">
        <f t="shared" si="0"/>
        <v>46</v>
      </c>
      <c r="W15">
        <f t="shared" si="0"/>
        <v>109</v>
      </c>
      <c r="X15" s="5">
        <f t="shared" si="2"/>
        <v>885</v>
      </c>
      <c r="Y15" s="9" t="str">
        <f>MID(F15,2,1)&amp;TEXT(X15,"###")</f>
        <v>C885</v>
      </c>
    </row>
    <row r="16" spans="1:25" x14ac:dyDescent="0.2">
      <c r="A16" s="80" t="s">
        <v>425</v>
      </c>
      <c r="B16" s="80">
        <v>1</v>
      </c>
      <c r="C16" s="80">
        <v>13</v>
      </c>
      <c r="D16" s="82">
        <v>45173</v>
      </c>
      <c r="E16" s="82">
        <v>45257</v>
      </c>
      <c r="F16" s="82" t="s">
        <v>363</v>
      </c>
      <c r="G16" s="81" t="s">
        <v>22</v>
      </c>
      <c r="H16" s="86">
        <v>1</v>
      </c>
      <c r="I16" s="81" t="s">
        <v>221</v>
      </c>
      <c r="J16" s="85">
        <v>45225</v>
      </c>
      <c r="K16" s="86">
        <v>0.7</v>
      </c>
      <c r="L16" s="87">
        <f>IF(YB[[#This Row],[Afrondingsdatum YB]]="N/A","-",YB[[#This Row],[Afrondingsdatum YB]]-YB[[#This Row],[StartDatum]])</f>
        <v>52</v>
      </c>
      <c r="M16" s="117"/>
      <c r="N16" s="117" t="s">
        <v>581</v>
      </c>
      <c r="P16">
        <f t="shared" si="1"/>
        <v>100</v>
      </c>
      <c r="Q16">
        <f t="shared" si="0"/>
        <v>101</v>
      </c>
      <c r="R16">
        <f t="shared" si="0"/>
        <v>109</v>
      </c>
      <c r="S16">
        <f t="shared" si="0"/>
        <v>105</v>
      </c>
      <c r="T16">
        <f t="shared" si="0"/>
        <v>46</v>
      </c>
      <c r="U16">
        <f t="shared" si="0"/>
        <v>118</v>
      </c>
      <c r="V16">
        <f t="shared" si="0"/>
        <v>97</v>
      </c>
      <c r="W16">
        <f t="shared" si="0"/>
        <v>110</v>
      </c>
      <c r="X16" s="5">
        <f t="shared" si="2"/>
        <v>875</v>
      </c>
      <c r="Y16" s="9" t="str">
        <f>MID(F16,2,1)&amp;TEXT(X16,"###")</f>
        <v>C875</v>
      </c>
    </row>
    <row r="17" spans="1:25" x14ac:dyDescent="0.2">
      <c r="A17" s="76" t="s">
        <v>425</v>
      </c>
      <c r="B17" s="76">
        <v>1</v>
      </c>
      <c r="C17" s="76">
        <v>13</v>
      </c>
      <c r="D17" s="77">
        <v>45173</v>
      </c>
      <c r="E17" s="77">
        <v>45257</v>
      </c>
      <c r="F17" s="77" t="s">
        <v>363</v>
      </c>
      <c r="G17" s="35" t="s">
        <v>23</v>
      </c>
      <c r="H17" s="36">
        <v>0.97</v>
      </c>
      <c r="I17" s="35" t="s">
        <v>227</v>
      </c>
      <c r="J17" s="35" t="s">
        <v>7</v>
      </c>
      <c r="K17" s="35" t="s">
        <v>9</v>
      </c>
      <c r="L17" s="88" t="str">
        <f>IF(YB[[#This Row],[Afrondingsdatum YB]]="N/A","-",YB[[#This Row],[Afrondingsdatum YB]]-YB[[#This Row],[StartDatum]])</f>
        <v>-</v>
      </c>
      <c r="M17" s="118"/>
      <c r="N17" s="118" t="s">
        <v>581</v>
      </c>
      <c r="P17">
        <f t="shared" si="1"/>
        <v>101</v>
      </c>
      <c r="Q17">
        <f t="shared" si="0"/>
        <v>108</v>
      </c>
      <c r="R17">
        <f t="shared" si="0"/>
        <v>105</v>
      </c>
      <c r="S17">
        <f t="shared" si="0"/>
        <v>122</v>
      </c>
      <c r="T17">
        <f t="shared" si="0"/>
        <v>101</v>
      </c>
      <c r="U17">
        <f t="shared" si="0"/>
        <v>46</v>
      </c>
      <c r="V17">
        <f t="shared" si="0"/>
        <v>98</v>
      </c>
      <c r="W17">
        <f t="shared" si="0"/>
        <v>97</v>
      </c>
      <c r="X17" s="5">
        <f t="shared" si="2"/>
        <v>843</v>
      </c>
      <c r="Y17" s="9" t="str">
        <f>MID(F17,2,1)&amp;TEXT(X17,"###")</f>
        <v>C843</v>
      </c>
    </row>
    <row r="18" spans="1:25" x14ac:dyDescent="0.2">
      <c r="A18" s="80" t="s">
        <v>425</v>
      </c>
      <c r="B18" s="80">
        <v>1</v>
      </c>
      <c r="C18" s="80">
        <v>13</v>
      </c>
      <c r="D18" s="82">
        <v>45173</v>
      </c>
      <c r="E18" s="82">
        <v>45257</v>
      </c>
      <c r="F18" s="82" t="s">
        <v>363</v>
      </c>
      <c r="G18" s="81" t="s">
        <v>24</v>
      </c>
      <c r="H18" s="86">
        <v>1</v>
      </c>
      <c r="I18" s="81" t="s">
        <v>222</v>
      </c>
      <c r="J18" s="85">
        <v>45225</v>
      </c>
      <c r="K18" s="86">
        <v>0.73</v>
      </c>
      <c r="L18" s="87">
        <f>IF(YB[[#This Row],[Afrondingsdatum YB]]="N/A","-",YB[[#This Row],[Afrondingsdatum YB]]-YB[[#This Row],[StartDatum]])</f>
        <v>52</v>
      </c>
      <c r="M18" s="117"/>
      <c r="N18" s="117" t="s">
        <v>579</v>
      </c>
      <c r="P18">
        <f t="shared" si="1"/>
        <v>102</v>
      </c>
      <c r="Q18">
        <f t="shared" si="1"/>
        <v>105</v>
      </c>
      <c r="R18">
        <f t="shared" si="1"/>
        <v>115</v>
      </c>
      <c r="S18">
        <f t="shared" si="1"/>
        <v>116</v>
      </c>
      <c r="T18">
        <f t="shared" si="1"/>
        <v>111</v>
      </c>
      <c r="U18">
        <f t="shared" si="1"/>
        <v>110</v>
      </c>
      <c r="V18">
        <f t="shared" si="1"/>
        <v>46</v>
      </c>
      <c r="W18">
        <f t="shared" si="1"/>
        <v>99</v>
      </c>
      <c r="X18" s="5">
        <f t="shared" si="2"/>
        <v>895</v>
      </c>
      <c r="Y18" s="9" t="str">
        <f>MID(F18,2,1)&amp;TEXT(X18,"###")</f>
        <v>C895</v>
      </c>
    </row>
    <row r="19" spans="1:25" x14ac:dyDescent="0.2">
      <c r="A19" s="76" t="s">
        <v>425</v>
      </c>
      <c r="B19" s="76">
        <v>1</v>
      </c>
      <c r="C19" s="76">
        <v>13</v>
      </c>
      <c r="D19" s="77">
        <v>45173</v>
      </c>
      <c r="E19" s="77">
        <v>45257</v>
      </c>
      <c r="F19" s="77" t="s">
        <v>362</v>
      </c>
      <c r="G19" s="35" t="s">
        <v>118</v>
      </c>
      <c r="H19" s="36">
        <v>0.99</v>
      </c>
      <c r="I19" s="35" t="s">
        <v>257</v>
      </c>
      <c r="J19" s="35" t="s">
        <v>7</v>
      </c>
      <c r="K19" s="35" t="s">
        <v>9</v>
      </c>
      <c r="L19" s="88" t="str">
        <f>IF(YB[[#This Row],[Afrondingsdatum YB]]="N/A","-",YB[[#This Row],[Afrondingsdatum YB]]-YB[[#This Row],[StartDatum]])</f>
        <v>-</v>
      </c>
      <c r="M19" s="118"/>
      <c r="N19" s="118" t="s">
        <v>573</v>
      </c>
      <c r="P19">
        <f t="shared" si="1"/>
        <v>103</v>
      </c>
      <c r="Q19">
        <f t="shared" si="1"/>
        <v>101</v>
      </c>
      <c r="R19">
        <f t="shared" si="1"/>
        <v>110</v>
      </c>
      <c r="S19">
        <f t="shared" si="1"/>
        <v>116</v>
      </c>
      <c r="T19">
        <f t="shared" si="1"/>
        <v>97</v>
      </c>
      <c r="U19">
        <f t="shared" si="1"/>
        <v>108</v>
      </c>
      <c r="V19">
        <f t="shared" si="1"/>
        <v>121</v>
      </c>
      <c r="W19">
        <f t="shared" si="1"/>
        <v>46</v>
      </c>
      <c r="X19" s="5">
        <f t="shared" si="2"/>
        <v>885</v>
      </c>
      <c r="Y19" s="9" t="str">
        <f>MID(F19,2,1)&amp;TEXT(X19,"###")</f>
        <v>C885</v>
      </c>
    </row>
    <row r="20" spans="1:25" x14ac:dyDescent="0.2">
      <c r="A20" s="80" t="s">
        <v>425</v>
      </c>
      <c r="B20" s="80">
        <v>1</v>
      </c>
      <c r="C20" s="80">
        <v>13</v>
      </c>
      <c r="D20" s="82">
        <v>45173</v>
      </c>
      <c r="E20" s="82">
        <v>45257</v>
      </c>
      <c r="F20" s="82" t="s">
        <v>362</v>
      </c>
      <c r="G20" s="81" t="s">
        <v>25</v>
      </c>
      <c r="H20" s="86">
        <v>1</v>
      </c>
      <c r="I20" s="81" t="s">
        <v>215</v>
      </c>
      <c r="J20" s="85">
        <v>45231</v>
      </c>
      <c r="K20" s="86">
        <v>0.73</v>
      </c>
      <c r="L20" s="87">
        <f>IF(YB[[#This Row],[Afrondingsdatum YB]]="N/A","-",YB[[#This Row],[Afrondingsdatum YB]]-YB[[#This Row],[StartDatum]])</f>
        <v>58</v>
      </c>
      <c r="M20" s="117"/>
      <c r="N20" s="117" t="s">
        <v>575</v>
      </c>
      <c r="P20">
        <f t="shared" si="1"/>
        <v>103</v>
      </c>
      <c r="Q20">
        <f t="shared" si="1"/>
        <v>108</v>
      </c>
      <c r="R20">
        <f t="shared" si="1"/>
        <v>105</v>
      </c>
      <c r="S20">
        <f t="shared" si="1"/>
        <v>103</v>
      </c>
      <c r="T20">
        <f t="shared" si="1"/>
        <v>111</v>
      </c>
      <c r="U20">
        <f t="shared" si="1"/>
        <v>114</v>
      </c>
      <c r="V20">
        <f t="shared" si="1"/>
        <v>46</v>
      </c>
      <c r="W20">
        <f t="shared" si="1"/>
        <v>106</v>
      </c>
      <c r="X20" s="5">
        <f t="shared" si="2"/>
        <v>875</v>
      </c>
      <c r="Y20" s="9" t="str">
        <f>MID(F20,2,1)&amp;TEXT(X20,"###")</f>
        <v>C875</v>
      </c>
    </row>
    <row r="21" spans="1:25" x14ac:dyDescent="0.2">
      <c r="A21" s="76" t="s">
        <v>425</v>
      </c>
      <c r="B21" s="76">
        <v>1</v>
      </c>
      <c r="C21" s="76">
        <v>13</v>
      </c>
      <c r="D21" s="77">
        <v>45173</v>
      </c>
      <c r="E21" s="77">
        <v>45257</v>
      </c>
      <c r="F21" s="77" t="s">
        <v>363</v>
      </c>
      <c r="G21" s="35" t="s">
        <v>26</v>
      </c>
      <c r="H21" s="36">
        <v>1</v>
      </c>
      <c r="I21" s="35" t="s">
        <v>240</v>
      </c>
      <c r="J21" s="37">
        <v>45230</v>
      </c>
      <c r="K21" s="36">
        <v>0.83</v>
      </c>
      <c r="L21" s="88">
        <f>IF(YB[[#This Row],[Afrondingsdatum YB]]="N/A","-",YB[[#This Row],[Afrondingsdatum YB]]-YB[[#This Row],[StartDatum]])</f>
        <v>57</v>
      </c>
      <c r="M21" s="118"/>
      <c r="N21" s="118" t="s">
        <v>580</v>
      </c>
      <c r="P21">
        <f t="shared" si="1"/>
        <v>104</v>
      </c>
      <c r="Q21">
        <f t="shared" si="1"/>
        <v>97</v>
      </c>
      <c r="R21">
        <f t="shared" si="1"/>
        <v>122</v>
      </c>
      <c r="S21">
        <f t="shared" si="1"/>
        <v>101</v>
      </c>
      <c r="T21">
        <f t="shared" si="1"/>
        <v>109</v>
      </c>
      <c r="U21">
        <f t="shared" si="1"/>
        <v>46</v>
      </c>
      <c r="V21">
        <f t="shared" si="1"/>
        <v>111</v>
      </c>
      <c r="W21">
        <f t="shared" si="1"/>
        <v>110</v>
      </c>
      <c r="X21" s="5">
        <f t="shared" si="2"/>
        <v>920</v>
      </c>
      <c r="Y21" s="9" t="str">
        <f>MID(F21,2,1)&amp;TEXT(X21,"###")</f>
        <v>C920</v>
      </c>
    </row>
    <row r="22" spans="1:25" x14ac:dyDescent="0.2">
      <c r="A22" s="80" t="s">
        <v>425</v>
      </c>
      <c r="B22" s="80">
        <v>1</v>
      </c>
      <c r="C22" s="80">
        <v>13</v>
      </c>
      <c r="D22" s="82">
        <v>45173</v>
      </c>
      <c r="E22" s="82">
        <v>45257</v>
      </c>
      <c r="F22" s="82" t="s">
        <v>364</v>
      </c>
      <c r="G22" s="81" t="s">
        <v>27</v>
      </c>
      <c r="H22" s="86">
        <v>1</v>
      </c>
      <c r="I22" s="81" t="s">
        <v>147</v>
      </c>
      <c r="J22" s="85">
        <v>45253</v>
      </c>
      <c r="K22" s="86">
        <v>0.75</v>
      </c>
      <c r="L22" s="87">
        <f>IF(YB[[#This Row],[Afrondingsdatum YB]]="N/A","-",YB[[#This Row],[Afrondingsdatum YB]]-YB[[#This Row],[StartDatum]])</f>
        <v>80</v>
      </c>
      <c r="M22" s="117"/>
      <c r="N22" s="117" t="s">
        <v>565</v>
      </c>
      <c r="P22">
        <f t="shared" si="1"/>
        <v>104</v>
      </c>
      <c r="Q22">
        <f t="shared" si="1"/>
        <v>101</v>
      </c>
      <c r="R22">
        <f t="shared" si="1"/>
        <v>114</v>
      </c>
      <c r="S22">
        <f t="shared" si="1"/>
        <v>109</v>
      </c>
      <c r="T22">
        <f t="shared" si="1"/>
        <v>101</v>
      </c>
      <c r="U22">
        <f t="shared" si="1"/>
        <v>108</v>
      </c>
      <c r="V22">
        <f t="shared" si="1"/>
        <v>97</v>
      </c>
      <c r="W22">
        <f t="shared" si="1"/>
        <v>46</v>
      </c>
      <c r="X22" s="5">
        <f t="shared" si="2"/>
        <v>876</v>
      </c>
      <c r="Y22" s="9" t="str">
        <f>MID(F22,2,1)&amp;TEXT(X22,"###")</f>
        <v>C876</v>
      </c>
    </row>
    <row r="23" spans="1:25" x14ac:dyDescent="0.2">
      <c r="A23" s="76" t="s">
        <v>425</v>
      </c>
      <c r="B23" s="76">
        <v>1</v>
      </c>
      <c r="C23" s="76">
        <v>13</v>
      </c>
      <c r="D23" s="77">
        <v>45173</v>
      </c>
      <c r="E23" s="77">
        <v>45257</v>
      </c>
      <c r="F23" s="77" t="s">
        <v>364</v>
      </c>
      <c r="G23" s="35" t="s">
        <v>28</v>
      </c>
      <c r="H23" s="36">
        <v>1</v>
      </c>
      <c r="I23" s="35" t="s">
        <v>241</v>
      </c>
      <c r="J23" s="37">
        <v>45233</v>
      </c>
      <c r="K23" s="36">
        <v>0.93</v>
      </c>
      <c r="L23" s="88">
        <f>IF(YB[[#This Row],[Afrondingsdatum YB]]="N/A","-",YB[[#This Row],[Afrondingsdatum YB]]-YB[[#This Row],[StartDatum]])</f>
        <v>60</v>
      </c>
      <c r="M23" s="118"/>
      <c r="N23" s="118" t="s">
        <v>562</v>
      </c>
      <c r="P23">
        <f t="shared" si="1"/>
        <v>104</v>
      </c>
      <c r="Q23">
        <f t="shared" si="1"/>
        <v>117</v>
      </c>
      <c r="R23">
        <f t="shared" si="1"/>
        <v>105</v>
      </c>
      <c r="S23">
        <f t="shared" si="1"/>
        <v>98</v>
      </c>
      <c r="T23">
        <f t="shared" si="1"/>
        <v>46</v>
      </c>
      <c r="U23">
        <f t="shared" si="1"/>
        <v>98</v>
      </c>
      <c r="V23">
        <f t="shared" si="1"/>
        <v>97</v>
      </c>
      <c r="W23">
        <f t="shared" si="1"/>
        <v>107</v>
      </c>
      <c r="X23" s="5">
        <f t="shared" si="2"/>
        <v>850</v>
      </c>
      <c r="Y23" s="9" t="str">
        <f>MID(F23,2,1)&amp;TEXT(X23,"###")</f>
        <v>C850</v>
      </c>
    </row>
    <row r="24" spans="1:25" x14ac:dyDescent="0.2">
      <c r="A24" s="80" t="s">
        <v>425</v>
      </c>
      <c r="B24" s="80">
        <v>1</v>
      </c>
      <c r="C24" s="80">
        <v>13</v>
      </c>
      <c r="D24" s="82">
        <v>45173</v>
      </c>
      <c r="E24" s="82">
        <v>45257</v>
      </c>
      <c r="F24" s="82" t="s">
        <v>363</v>
      </c>
      <c r="G24" s="81" t="s">
        <v>29</v>
      </c>
      <c r="H24" s="86">
        <v>1</v>
      </c>
      <c r="I24" s="81" t="s">
        <v>179</v>
      </c>
      <c r="J24" s="85">
        <v>45210</v>
      </c>
      <c r="K24" s="86">
        <v>0.85</v>
      </c>
      <c r="L24" s="87">
        <f>IF(YB[[#This Row],[Afrondingsdatum YB]]="N/A","-",YB[[#This Row],[Afrondingsdatum YB]]-YB[[#This Row],[StartDatum]])</f>
        <v>37</v>
      </c>
      <c r="M24" s="117"/>
      <c r="N24" s="117" t="s">
        <v>577</v>
      </c>
      <c r="P24">
        <f t="shared" si="1"/>
        <v>105</v>
      </c>
      <c r="Q24">
        <f t="shared" si="1"/>
        <v>107</v>
      </c>
      <c r="R24">
        <f t="shared" si="1"/>
        <v>104</v>
      </c>
      <c r="S24">
        <f t="shared" si="1"/>
        <v>108</v>
      </c>
      <c r="T24">
        <f t="shared" si="1"/>
        <v>97</v>
      </c>
      <c r="U24">
        <f t="shared" si="1"/>
        <v>115</v>
      </c>
      <c r="V24">
        <f t="shared" si="1"/>
        <v>46</v>
      </c>
      <c r="W24">
        <f t="shared" si="1"/>
        <v>98</v>
      </c>
      <c r="X24" s="5">
        <f t="shared" si="2"/>
        <v>854</v>
      </c>
      <c r="Y24" s="9" t="str">
        <f>MID(F24,2,1)&amp;TEXT(X24,"###")</f>
        <v>C854</v>
      </c>
    </row>
    <row r="25" spans="1:25" x14ac:dyDescent="0.2">
      <c r="A25" s="76" t="s">
        <v>425</v>
      </c>
      <c r="B25" s="76">
        <v>1</v>
      </c>
      <c r="C25" s="76">
        <v>13</v>
      </c>
      <c r="D25" s="77">
        <v>45173</v>
      </c>
      <c r="E25" s="77">
        <v>45257</v>
      </c>
      <c r="F25" s="77" t="s">
        <v>363</v>
      </c>
      <c r="G25" s="35" t="s">
        <v>30</v>
      </c>
      <c r="H25" s="36">
        <v>1</v>
      </c>
      <c r="I25" s="35" t="s">
        <v>225</v>
      </c>
      <c r="J25" s="37">
        <v>45226</v>
      </c>
      <c r="K25" s="36">
        <v>0.75</v>
      </c>
      <c r="L25" s="88">
        <f>IF(YB[[#This Row],[Afrondingsdatum YB]]="N/A","-",YB[[#This Row],[Afrondingsdatum YB]]-YB[[#This Row],[StartDatum]])</f>
        <v>53</v>
      </c>
      <c r="M25" s="118"/>
      <c r="N25" s="118" t="s">
        <v>576</v>
      </c>
      <c r="P25">
        <f t="shared" si="1"/>
        <v>105</v>
      </c>
      <c r="Q25">
        <f t="shared" si="1"/>
        <v>108</v>
      </c>
      <c r="R25">
        <f t="shared" si="1"/>
        <v>107</v>
      </c>
      <c r="S25">
        <f t="shared" si="1"/>
        <v>97</v>
      </c>
      <c r="T25">
        <f t="shared" si="1"/>
        <v>121</v>
      </c>
      <c r="U25">
        <f t="shared" si="1"/>
        <v>46</v>
      </c>
      <c r="V25">
        <f t="shared" si="1"/>
        <v>117</v>
      </c>
      <c r="W25">
        <f t="shared" si="1"/>
        <v>121</v>
      </c>
      <c r="X25" s="5">
        <f t="shared" si="2"/>
        <v>909</v>
      </c>
      <c r="Y25" s="9" t="str">
        <f>MID(F25,2,1)&amp;TEXT(X25,"###")</f>
        <v>C909</v>
      </c>
    </row>
    <row r="26" spans="1:25" x14ac:dyDescent="0.2">
      <c r="A26" s="80" t="s">
        <v>425</v>
      </c>
      <c r="B26" s="80">
        <v>1</v>
      </c>
      <c r="C26" s="80">
        <v>13</v>
      </c>
      <c r="D26" s="82">
        <v>45173</v>
      </c>
      <c r="E26" s="82">
        <v>45257</v>
      </c>
      <c r="F26" s="82" t="s">
        <v>364</v>
      </c>
      <c r="G26" s="81" t="s">
        <v>31</v>
      </c>
      <c r="H26" s="86">
        <v>1</v>
      </c>
      <c r="I26" s="81" t="s">
        <v>207</v>
      </c>
      <c r="J26" s="85">
        <v>45230</v>
      </c>
      <c r="K26" s="86">
        <v>0.85</v>
      </c>
      <c r="L26" s="87">
        <f>IF(YB[[#This Row],[Afrondingsdatum YB]]="N/A","-",YB[[#This Row],[Afrondingsdatum YB]]-YB[[#This Row],[StartDatum]])</f>
        <v>57</v>
      </c>
      <c r="M26" s="117"/>
      <c r="N26" s="117" t="s">
        <v>568</v>
      </c>
      <c r="P26">
        <f t="shared" si="1"/>
        <v>106</v>
      </c>
      <c r="Q26">
        <f t="shared" si="1"/>
        <v>97</v>
      </c>
      <c r="R26">
        <f t="shared" si="1"/>
        <v>109</v>
      </c>
      <c r="S26">
        <f t="shared" si="1"/>
        <v>97</v>
      </c>
      <c r="T26">
        <f t="shared" si="1"/>
        <v>108</v>
      </c>
      <c r="U26">
        <f t="shared" si="1"/>
        <v>46</v>
      </c>
      <c r="V26">
        <f t="shared" si="1"/>
        <v>98</v>
      </c>
      <c r="W26">
        <f t="shared" si="1"/>
        <v>97</v>
      </c>
      <c r="X26" s="5">
        <f t="shared" si="2"/>
        <v>855</v>
      </c>
      <c r="Y26" s="9" t="str">
        <f>MID(F26,2,1)&amp;TEXT(X26,"###")</f>
        <v>C855</v>
      </c>
    </row>
    <row r="27" spans="1:25" x14ac:dyDescent="0.2">
      <c r="A27" s="76" t="s">
        <v>425</v>
      </c>
      <c r="B27" s="76">
        <v>1</v>
      </c>
      <c r="C27" s="76">
        <v>13</v>
      </c>
      <c r="D27" s="77">
        <v>45173</v>
      </c>
      <c r="E27" s="77">
        <v>45257</v>
      </c>
      <c r="F27" s="77" t="s">
        <v>364</v>
      </c>
      <c r="G27" s="35" t="s">
        <v>75</v>
      </c>
      <c r="H27" s="36">
        <v>0</v>
      </c>
      <c r="I27" s="35" t="s">
        <v>8</v>
      </c>
      <c r="J27" s="35" t="s">
        <v>7</v>
      </c>
      <c r="K27" s="35" t="s">
        <v>9</v>
      </c>
      <c r="L27" s="88" t="str">
        <f>IF(YB[[#This Row],[Afrondingsdatum YB]]="N/A","-",YB[[#This Row],[Afrondingsdatum YB]]-YB[[#This Row],[StartDatum]])</f>
        <v>-</v>
      </c>
      <c r="M27" s="118"/>
      <c r="N27" s="118" t="s">
        <v>565</v>
      </c>
      <c r="P27">
        <f t="shared" si="1"/>
        <v>74</v>
      </c>
      <c r="Q27">
        <f t="shared" si="1"/>
        <v>97</v>
      </c>
      <c r="R27">
        <f t="shared" si="1"/>
        <v>109</v>
      </c>
      <c r="S27">
        <f t="shared" si="1"/>
        <v>105</v>
      </c>
      <c r="T27">
        <f t="shared" si="1"/>
        <v>108</v>
      </c>
      <c r="U27">
        <f t="shared" si="1"/>
        <v>108</v>
      </c>
      <c r="V27">
        <f t="shared" si="1"/>
        <v>97</v>
      </c>
      <c r="W27">
        <f t="shared" si="1"/>
        <v>98</v>
      </c>
      <c r="X27" s="5">
        <f t="shared" si="2"/>
        <v>887</v>
      </c>
      <c r="Y27" s="9" t="str">
        <f>MID(F27,2,1)&amp;TEXT(X27,"###")</f>
        <v>C887</v>
      </c>
    </row>
    <row r="28" spans="1:25" x14ac:dyDescent="0.2">
      <c r="A28" s="80" t="s">
        <v>425</v>
      </c>
      <c r="B28" s="80">
        <v>1</v>
      </c>
      <c r="C28" s="80">
        <v>13</v>
      </c>
      <c r="D28" s="82">
        <v>45173</v>
      </c>
      <c r="E28" s="82">
        <v>45257</v>
      </c>
      <c r="F28" s="82" t="s">
        <v>363</v>
      </c>
      <c r="G28" s="81" t="s">
        <v>32</v>
      </c>
      <c r="H28" s="86">
        <v>1</v>
      </c>
      <c r="I28" s="81" t="s">
        <v>181</v>
      </c>
      <c r="J28" s="85">
        <v>45209</v>
      </c>
      <c r="K28" s="86">
        <v>0.78</v>
      </c>
      <c r="L28" s="87">
        <f>IF(YB[[#This Row],[Afrondingsdatum YB]]="N/A","-",YB[[#This Row],[Afrondingsdatum YB]]-YB[[#This Row],[StartDatum]])</f>
        <v>36</v>
      </c>
      <c r="M28" s="117"/>
      <c r="N28" s="117" t="s">
        <v>580</v>
      </c>
      <c r="P28">
        <f t="shared" si="1"/>
        <v>106</v>
      </c>
      <c r="Q28">
        <f t="shared" si="1"/>
        <v>97</v>
      </c>
      <c r="R28">
        <f t="shared" si="1"/>
        <v>114</v>
      </c>
      <c r="S28">
        <f t="shared" si="1"/>
        <v>114</v>
      </c>
      <c r="T28">
        <f t="shared" si="1"/>
        <v>111</v>
      </c>
      <c r="U28">
        <f t="shared" si="1"/>
        <v>110</v>
      </c>
      <c r="V28">
        <f t="shared" si="1"/>
        <v>46</v>
      </c>
      <c r="W28">
        <f t="shared" si="1"/>
        <v>118</v>
      </c>
      <c r="X28" s="5">
        <f t="shared" si="2"/>
        <v>910</v>
      </c>
      <c r="Y28" s="9" t="str">
        <f>MID(F28,2,1)&amp;TEXT(X28,"###")</f>
        <v>C910</v>
      </c>
    </row>
    <row r="29" spans="1:25" x14ac:dyDescent="0.2">
      <c r="A29" s="76" t="s">
        <v>425</v>
      </c>
      <c r="B29" s="76">
        <v>1</v>
      </c>
      <c r="C29" s="76">
        <v>13</v>
      </c>
      <c r="D29" s="77">
        <v>45173</v>
      </c>
      <c r="E29" s="77">
        <v>45257</v>
      </c>
      <c r="F29" s="77" t="s">
        <v>362</v>
      </c>
      <c r="G29" s="35" t="s">
        <v>33</v>
      </c>
      <c r="H29" s="36">
        <v>0.36</v>
      </c>
      <c r="I29" s="35" t="s">
        <v>228</v>
      </c>
      <c r="J29" s="35" t="s">
        <v>7</v>
      </c>
      <c r="K29" s="35" t="s">
        <v>9</v>
      </c>
      <c r="L29" s="88" t="str">
        <f>IF(YB[[#This Row],[Afrondingsdatum YB]]="N/A","-",YB[[#This Row],[Afrondingsdatum YB]]-YB[[#This Row],[StartDatum]])</f>
        <v>-</v>
      </c>
      <c r="M29" s="118"/>
      <c r="N29" s="118" t="s">
        <v>575</v>
      </c>
      <c r="P29">
        <f t="shared" si="1"/>
        <v>106</v>
      </c>
      <c r="Q29">
        <f t="shared" si="1"/>
        <v>101</v>
      </c>
      <c r="R29">
        <f t="shared" si="1"/>
        <v>118</v>
      </c>
      <c r="S29">
        <f t="shared" si="1"/>
        <v>111</v>
      </c>
      <c r="T29">
        <f t="shared" si="1"/>
        <v>110</v>
      </c>
      <c r="U29">
        <f t="shared" si="1"/>
        <v>46</v>
      </c>
      <c r="V29">
        <f t="shared" si="1"/>
        <v>115</v>
      </c>
      <c r="W29">
        <f t="shared" si="1"/>
        <v>109</v>
      </c>
      <c r="X29" s="5">
        <f t="shared" si="2"/>
        <v>918</v>
      </c>
      <c r="Y29" s="9" t="str">
        <f>MID(F29,2,1)&amp;TEXT(X29,"###")</f>
        <v>C918</v>
      </c>
    </row>
    <row r="30" spans="1:25" x14ac:dyDescent="0.2">
      <c r="A30" s="80" t="s">
        <v>425</v>
      </c>
      <c r="B30" s="80">
        <v>1</v>
      </c>
      <c r="C30" s="80">
        <v>13</v>
      </c>
      <c r="D30" s="82">
        <v>45173</v>
      </c>
      <c r="E30" s="82">
        <v>45257</v>
      </c>
      <c r="F30" s="82" t="s">
        <v>362</v>
      </c>
      <c r="G30" s="81" t="s">
        <v>125</v>
      </c>
      <c r="H30" s="86">
        <v>1</v>
      </c>
      <c r="I30" s="81" t="s">
        <v>259</v>
      </c>
      <c r="J30" s="85">
        <v>45238</v>
      </c>
      <c r="K30" s="86">
        <v>0.93</v>
      </c>
      <c r="L30" s="87">
        <f>IF(YB[[#This Row],[Afrondingsdatum YB]]="N/A","-",YB[[#This Row],[Afrondingsdatum YB]]-YB[[#This Row],[StartDatum]])</f>
        <v>65</v>
      </c>
      <c r="M30" s="117"/>
      <c r="N30" s="117" t="s">
        <v>572</v>
      </c>
      <c r="P30">
        <f t="shared" si="1"/>
        <v>106</v>
      </c>
      <c r="Q30">
        <f t="shared" si="1"/>
        <v>111</v>
      </c>
      <c r="R30">
        <f t="shared" si="1"/>
        <v>98</v>
      </c>
      <c r="S30">
        <f t="shared" si="1"/>
        <v>46</v>
      </c>
      <c r="T30">
        <f t="shared" si="1"/>
        <v>107</v>
      </c>
      <c r="U30">
        <f t="shared" si="1"/>
        <v>110</v>
      </c>
      <c r="V30">
        <f t="shared" si="1"/>
        <v>111</v>
      </c>
      <c r="W30">
        <f t="shared" si="1"/>
        <v>111</v>
      </c>
      <c r="X30" s="5">
        <f t="shared" si="2"/>
        <v>906</v>
      </c>
      <c r="Y30" s="9" t="str">
        <f>MID(F30,2,1)&amp;TEXT(X30,"###")</f>
        <v>C906</v>
      </c>
    </row>
    <row r="31" spans="1:25" x14ac:dyDescent="0.2">
      <c r="A31" s="76" t="s">
        <v>425</v>
      </c>
      <c r="B31" s="76">
        <v>1</v>
      </c>
      <c r="C31" s="76">
        <v>13</v>
      </c>
      <c r="D31" s="77">
        <v>45173</v>
      </c>
      <c r="E31" s="77">
        <v>45257</v>
      </c>
      <c r="F31" s="77" t="s">
        <v>362</v>
      </c>
      <c r="G31" s="35" t="s">
        <v>34</v>
      </c>
      <c r="H31" s="36">
        <v>1</v>
      </c>
      <c r="I31" s="35" t="s">
        <v>148</v>
      </c>
      <c r="J31" s="37">
        <v>45238</v>
      </c>
      <c r="K31" s="36">
        <v>0.85</v>
      </c>
      <c r="L31" s="88">
        <f>IF(YB[[#This Row],[Afrondingsdatum YB]]="N/A","-",YB[[#This Row],[Afrondingsdatum YB]]-YB[[#This Row],[StartDatum]])</f>
        <v>65</v>
      </c>
      <c r="M31" s="118"/>
      <c r="N31" s="118" t="s">
        <v>574</v>
      </c>
      <c r="P31">
        <f t="shared" si="1"/>
        <v>106</v>
      </c>
      <c r="Q31">
        <f t="shared" si="1"/>
        <v>111</v>
      </c>
      <c r="R31">
        <f t="shared" si="1"/>
        <v>99</v>
      </c>
      <c r="S31">
        <f t="shared" si="1"/>
        <v>104</v>
      </c>
      <c r="T31">
        <f t="shared" si="1"/>
        <v>101</v>
      </c>
      <c r="U31">
        <f t="shared" si="1"/>
        <v>109</v>
      </c>
      <c r="V31">
        <f t="shared" si="1"/>
        <v>46</v>
      </c>
      <c r="W31">
        <f t="shared" si="1"/>
        <v>104</v>
      </c>
      <c r="X31" s="5">
        <f t="shared" si="2"/>
        <v>845</v>
      </c>
      <c r="Y31" s="9" t="str">
        <f>MID(F31,2,1)&amp;TEXT(X31,"###")</f>
        <v>C845</v>
      </c>
    </row>
    <row r="32" spans="1:25" x14ac:dyDescent="0.2">
      <c r="A32" s="80" t="s">
        <v>425</v>
      </c>
      <c r="B32" s="80">
        <v>1</v>
      </c>
      <c r="C32" s="80">
        <v>13</v>
      </c>
      <c r="D32" s="82">
        <v>45173</v>
      </c>
      <c r="E32" s="82">
        <v>45257</v>
      </c>
      <c r="F32" s="82" t="s">
        <v>362</v>
      </c>
      <c r="G32" s="81" t="s">
        <v>35</v>
      </c>
      <c r="H32" s="86">
        <v>1</v>
      </c>
      <c r="I32" s="81" t="s">
        <v>260</v>
      </c>
      <c r="J32" s="85">
        <v>45238</v>
      </c>
      <c r="K32" s="86">
        <v>0.9</v>
      </c>
      <c r="L32" s="87">
        <f>IF(YB[[#This Row],[Afrondingsdatum YB]]="N/A","-",YB[[#This Row],[Afrondingsdatum YB]]-YB[[#This Row],[StartDatum]])</f>
        <v>65</v>
      </c>
      <c r="M32" s="117"/>
      <c r="N32" s="117" t="s">
        <v>575</v>
      </c>
      <c r="P32">
        <f t="shared" si="1"/>
        <v>106</v>
      </c>
      <c r="Q32">
        <f t="shared" si="1"/>
        <v>111</v>
      </c>
      <c r="R32">
        <f t="shared" si="1"/>
        <v>114</v>
      </c>
      <c r="S32">
        <f t="shared" si="1"/>
        <v>105</v>
      </c>
      <c r="T32">
        <f t="shared" si="1"/>
        <v>115</v>
      </c>
      <c r="U32">
        <f t="shared" si="1"/>
        <v>46</v>
      </c>
      <c r="V32">
        <f t="shared" si="1"/>
        <v>107</v>
      </c>
      <c r="W32">
        <f t="shared" si="1"/>
        <v>111</v>
      </c>
      <c r="X32" s="5">
        <f t="shared" si="2"/>
        <v>909</v>
      </c>
      <c r="Y32" s="9" t="str">
        <f>MID(F32,2,1)&amp;TEXT(X32,"###")</f>
        <v>C909</v>
      </c>
    </row>
    <row r="33" spans="1:25" x14ac:dyDescent="0.2">
      <c r="A33" s="76" t="s">
        <v>425</v>
      </c>
      <c r="B33" s="76">
        <v>1</v>
      </c>
      <c r="C33" s="76">
        <v>13</v>
      </c>
      <c r="D33" s="77">
        <v>45173</v>
      </c>
      <c r="E33" s="77">
        <v>45257</v>
      </c>
      <c r="F33" s="77" t="s">
        <v>364</v>
      </c>
      <c r="G33" s="35" t="s">
        <v>36</v>
      </c>
      <c r="H33" s="36">
        <v>1</v>
      </c>
      <c r="I33" s="35" t="s">
        <v>179</v>
      </c>
      <c r="J33" s="37">
        <v>45236</v>
      </c>
      <c r="K33" s="36">
        <v>0.8</v>
      </c>
      <c r="L33" s="88">
        <f>IF(YB[[#This Row],[Afrondingsdatum YB]]="N/A","-",YB[[#This Row],[Afrondingsdatum YB]]-YB[[#This Row],[StartDatum]])</f>
        <v>63</v>
      </c>
      <c r="M33" s="118"/>
      <c r="N33" s="118" t="s">
        <v>568</v>
      </c>
      <c r="P33">
        <f t="shared" si="1"/>
        <v>74</v>
      </c>
      <c r="Q33">
        <f t="shared" si="1"/>
        <v>117</v>
      </c>
      <c r="R33">
        <f t="shared" si="1"/>
        <v>108</v>
      </c>
      <c r="S33">
        <f t="shared" si="1"/>
        <v>105</v>
      </c>
      <c r="T33">
        <f t="shared" si="1"/>
        <v>97</v>
      </c>
      <c r="U33">
        <f t="shared" si="1"/>
        <v>110</v>
      </c>
      <c r="V33">
        <f t="shared" si="1"/>
        <v>46</v>
      </c>
      <c r="W33">
        <f t="shared" si="1"/>
        <v>68</v>
      </c>
      <c r="X33" s="5">
        <f t="shared" si="2"/>
        <v>804</v>
      </c>
      <c r="Y33" s="9" t="str">
        <f>MID(F33,2,1)&amp;TEXT(X33,"###")</f>
        <v>C804</v>
      </c>
    </row>
    <row r="34" spans="1:25" x14ac:dyDescent="0.2">
      <c r="A34" s="80" t="s">
        <v>425</v>
      </c>
      <c r="B34" s="80">
        <v>1</v>
      </c>
      <c r="C34" s="80">
        <v>13</v>
      </c>
      <c r="D34" s="82">
        <v>45173</v>
      </c>
      <c r="E34" s="82">
        <v>45257</v>
      </c>
      <c r="F34" s="82" t="s">
        <v>363</v>
      </c>
      <c r="G34" s="123" t="s">
        <v>37</v>
      </c>
      <c r="H34" s="86">
        <v>1</v>
      </c>
      <c r="I34" s="81" t="s">
        <v>207</v>
      </c>
      <c r="J34" s="85">
        <v>45228</v>
      </c>
      <c r="K34" s="86">
        <v>0.8</v>
      </c>
      <c r="L34" s="87">
        <f>IF(YB[[#This Row],[Afrondingsdatum YB]]="N/A","-",YB[[#This Row],[Afrondingsdatum YB]]-YB[[#This Row],[StartDatum]])</f>
        <v>55</v>
      </c>
      <c r="M34" s="117"/>
      <c r="N34" s="117" t="s">
        <v>578</v>
      </c>
      <c r="P34">
        <f t="shared" si="1"/>
        <v>106</v>
      </c>
      <c r="Q34">
        <f t="shared" si="1"/>
        <v>117</v>
      </c>
      <c r="R34">
        <f t="shared" si="1"/>
        <v>108</v>
      </c>
      <c r="S34">
        <f t="shared" si="1"/>
        <v>105</v>
      </c>
      <c r="T34">
        <f t="shared" si="1"/>
        <v>97</v>
      </c>
      <c r="U34">
        <f t="shared" si="1"/>
        <v>110</v>
      </c>
      <c r="V34">
        <f t="shared" si="1"/>
        <v>46</v>
      </c>
      <c r="W34">
        <f t="shared" si="1"/>
        <v>118</v>
      </c>
      <c r="X34" s="5">
        <f t="shared" si="2"/>
        <v>886</v>
      </c>
      <c r="Y34" s="9" t="str">
        <f>MID(F34,2,1)&amp;TEXT(X34,"###")</f>
        <v>C886</v>
      </c>
    </row>
    <row r="35" spans="1:25" x14ac:dyDescent="0.2">
      <c r="A35" s="76" t="s">
        <v>425</v>
      </c>
      <c r="B35" s="76">
        <v>1</v>
      </c>
      <c r="C35" s="76">
        <v>13</v>
      </c>
      <c r="D35" s="77">
        <v>45173</v>
      </c>
      <c r="E35" s="77">
        <v>45257</v>
      </c>
      <c r="F35" s="77" t="s">
        <v>363</v>
      </c>
      <c r="G35" s="35" t="s">
        <v>38</v>
      </c>
      <c r="H35" s="36">
        <v>1</v>
      </c>
      <c r="I35" s="35" t="s">
        <v>208</v>
      </c>
      <c r="J35" s="37">
        <v>45223</v>
      </c>
      <c r="K35" s="36">
        <v>0.8</v>
      </c>
      <c r="L35" s="88">
        <f>IF(YB[[#This Row],[Afrondingsdatum YB]]="N/A","-",YB[[#This Row],[Afrondingsdatum YB]]-YB[[#This Row],[StartDatum]])</f>
        <v>50</v>
      </c>
      <c r="M35" s="118"/>
      <c r="N35" s="118" t="s">
        <v>579</v>
      </c>
      <c r="P35">
        <f t="shared" ref="P35:W66" si="3">CODE(MID($G35,P$1,1))</f>
        <v>107</v>
      </c>
      <c r="Q35">
        <f t="shared" si="3"/>
        <v>97</v>
      </c>
      <c r="R35">
        <f t="shared" si="3"/>
        <v>105</v>
      </c>
      <c r="S35">
        <f t="shared" si="3"/>
        <v>46</v>
      </c>
      <c r="T35">
        <f t="shared" si="3"/>
        <v>104</v>
      </c>
      <c r="U35">
        <f t="shared" si="3"/>
        <v>97</v>
      </c>
      <c r="V35">
        <f t="shared" si="3"/>
        <v>115</v>
      </c>
      <c r="W35">
        <f t="shared" si="3"/>
        <v>115</v>
      </c>
      <c r="X35" s="5">
        <f t="shared" si="2"/>
        <v>913</v>
      </c>
      <c r="Y35" s="9" t="str">
        <f>MID(F35,2,1)&amp;TEXT(X35,"###")</f>
        <v>C913</v>
      </c>
    </row>
    <row r="36" spans="1:25" x14ac:dyDescent="0.2">
      <c r="A36" s="80" t="s">
        <v>425</v>
      </c>
      <c r="B36" s="80">
        <v>1</v>
      </c>
      <c r="C36" s="80">
        <v>13</v>
      </c>
      <c r="D36" s="82">
        <v>45173</v>
      </c>
      <c r="E36" s="82">
        <v>45257</v>
      </c>
      <c r="F36" s="82" t="s">
        <v>362</v>
      </c>
      <c r="G36" s="81" t="s">
        <v>261</v>
      </c>
      <c r="H36" s="86">
        <v>1</v>
      </c>
      <c r="I36" s="81" t="s">
        <v>105</v>
      </c>
      <c r="J36" s="85">
        <v>45239</v>
      </c>
      <c r="K36" s="86">
        <v>0.73</v>
      </c>
      <c r="L36" s="87">
        <f>IF(YB[[#This Row],[Afrondingsdatum YB]]="N/A","-",YB[[#This Row],[Afrondingsdatum YB]]-YB[[#This Row],[StartDatum]])</f>
        <v>66</v>
      </c>
      <c r="M36" s="117"/>
      <c r="N36" s="117" t="s">
        <v>572</v>
      </c>
      <c r="P36">
        <f t="shared" si="3"/>
        <v>107</v>
      </c>
      <c r="Q36">
        <f t="shared" si="3"/>
        <v>101</v>
      </c>
      <c r="R36">
        <f t="shared" si="3"/>
        <v>101</v>
      </c>
      <c r="S36">
        <f t="shared" si="3"/>
        <v>115</v>
      </c>
      <c r="T36">
        <f t="shared" si="3"/>
        <v>46</v>
      </c>
      <c r="U36">
        <f t="shared" si="3"/>
        <v>98</v>
      </c>
      <c r="V36">
        <f t="shared" si="3"/>
        <v>111</v>
      </c>
      <c r="W36">
        <f t="shared" si="3"/>
        <v>110</v>
      </c>
      <c r="X36" s="5">
        <f t="shared" si="2"/>
        <v>854</v>
      </c>
      <c r="Y36" s="9" t="str">
        <f>MID(F36,2,1)&amp;TEXT(X36,"###")</f>
        <v>C854</v>
      </c>
    </row>
    <row r="37" spans="1:25" x14ac:dyDescent="0.2">
      <c r="A37" s="76" t="s">
        <v>425</v>
      </c>
      <c r="B37" s="76">
        <v>1</v>
      </c>
      <c r="C37" s="76">
        <v>13</v>
      </c>
      <c r="D37" s="77">
        <v>45173</v>
      </c>
      <c r="E37" s="77">
        <v>45257</v>
      </c>
      <c r="F37" s="77" t="s">
        <v>362</v>
      </c>
      <c r="G37" s="35" t="s">
        <v>39</v>
      </c>
      <c r="H37" s="36">
        <v>1</v>
      </c>
      <c r="I37" s="35" t="s">
        <v>226</v>
      </c>
      <c r="J37" s="37">
        <v>45226</v>
      </c>
      <c r="K37" s="36">
        <v>0.75</v>
      </c>
      <c r="L37" s="88">
        <f>IF(YB[[#This Row],[Afrondingsdatum YB]]="N/A","-",YB[[#This Row],[Afrondingsdatum YB]]-YB[[#This Row],[StartDatum]])</f>
        <v>53</v>
      </c>
      <c r="M37" s="118"/>
      <c r="N37" s="118" t="s">
        <v>571</v>
      </c>
      <c r="P37">
        <f t="shared" si="3"/>
        <v>107</v>
      </c>
      <c r="Q37">
        <f t="shared" si="3"/>
        <v>101</v>
      </c>
      <c r="R37">
        <f t="shared" si="3"/>
        <v>110</v>
      </c>
      <c r="S37">
        <f t="shared" si="3"/>
        <v>97</v>
      </c>
      <c r="T37">
        <f t="shared" si="3"/>
        <v>110</v>
      </c>
      <c r="U37">
        <f t="shared" si="3"/>
        <v>46</v>
      </c>
      <c r="V37">
        <f t="shared" si="3"/>
        <v>102</v>
      </c>
      <c r="W37">
        <f t="shared" si="3"/>
        <v>108</v>
      </c>
      <c r="X37" s="5">
        <f t="shared" si="2"/>
        <v>878</v>
      </c>
      <c r="Y37" s="9" t="str">
        <f>MID(F37,2,1)&amp;TEXT(X37,"###")</f>
        <v>C878</v>
      </c>
    </row>
    <row r="38" spans="1:25" x14ac:dyDescent="0.2">
      <c r="A38" s="80" t="s">
        <v>425</v>
      </c>
      <c r="B38" s="80">
        <v>1</v>
      </c>
      <c r="C38" s="80">
        <v>13</v>
      </c>
      <c r="D38" s="82">
        <v>45173</v>
      </c>
      <c r="E38" s="82">
        <v>45257</v>
      </c>
      <c r="F38" s="82" t="s">
        <v>363</v>
      </c>
      <c r="G38" s="81" t="s">
        <v>40</v>
      </c>
      <c r="H38" s="86">
        <v>1</v>
      </c>
      <c r="I38" s="81" t="s">
        <v>227</v>
      </c>
      <c r="J38" s="85">
        <v>45225</v>
      </c>
      <c r="K38" s="86">
        <v>0.85</v>
      </c>
      <c r="L38" s="87">
        <f>IF(YB[[#This Row],[Afrondingsdatum YB]]="N/A","-",YB[[#This Row],[Afrondingsdatum YB]]-YB[[#This Row],[StartDatum]])</f>
        <v>52</v>
      </c>
      <c r="M38" s="117"/>
      <c r="N38" s="117" t="s">
        <v>576</v>
      </c>
      <c r="P38">
        <f t="shared" si="3"/>
        <v>107</v>
      </c>
      <c r="Q38">
        <f t="shared" si="3"/>
        <v>101</v>
      </c>
      <c r="R38">
        <f t="shared" si="3"/>
        <v>118</v>
      </c>
      <c r="S38">
        <f t="shared" si="3"/>
        <v>105</v>
      </c>
      <c r="T38">
        <f t="shared" si="3"/>
        <v>110</v>
      </c>
      <c r="U38">
        <f t="shared" si="3"/>
        <v>46</v>
      </c>
      <c r="V38">
        <f t="shared" si="3"/>
        <v>98</v>
      </c>
      <c r="W38">
        <f t="shared" si="3"/>
        <v>97</v>
      </c>
      <c r="X38" s="5">
        <f t="shared" si="2"/>
        <v>889</v>
      </c>
      <c r="Y38" s="9" t="str">
        <f>MID(F38,2,1)&amp;TEXT(X38,"###")</f>
        <v>C889</v>
      </c>
    </row>
    <row r="39" spans="1:25" x14ac:dyDescent="0.2">
      <c r="A39" s="76" t="s">
        <v>425</v>
      </c>
      <c r="B39" s="76">
        <v>1</v>
      </c>
      <c r="C39" s="76">
        <v>13</v>
      </c>
      <c r="D39" s="77">
        <v>45173</v>
      </c>
      <c r="E39" s="77">
        <v>45257</v>
      </c>
      <c r="F39" s="77" t="s">
        <v>363</v>
      </c>
      <c r="G39" s="35" t="s">
        <v>41</v>
      </c>
      <c r="H39" s="36">
        <v>1</v>
      </c>
      <c r="I39" s="35" t="s">
        <v>121</v>
      </c>
      <c r="J39" s="37">
        <v>45218</v>
      </c>
      <c r="K39" s="36">
        <v>0.83</v>
      </c>
      <c r="L39" s="88">
        <f>IF(YB[[#This Row],[Afrondingsdatum YB]]="N/A","-",YB[[#This Row],[Afrondingsdatum YB]]-YB[[#This Row],[StartDatum]])</f>
        <v>45</v>
      </c>
      <c r="M39" s="118"/>
      <c r="N39" s="118" t="s">
        <v>579</v>
      </c>
      <c r="P39">
        <f t="shared" si="3"/>
        <v>107</v>
      </c>
      <c r="Q39">
        <f t="shared" si="3"/>
        <v>106</v>
      </c>
      <c r="R39">
        <f t="shared" si="3"/>
        <v>101</v>
      </c>
      <c r="S39">
        <f t="shared" si="3"/>
        <v>108</v>
      </c>
      <c r="T39">
        <f t="shared" si="3"/>
        <v>108</v>
      </c>
      <c r="U39">
        <f t="shared" si="3"/>
        <v>46</v>
      </c>
      <c r="V39">
        <f t="shared" si="3"/>
        <v>118</v>
      </c>
      <c r="W39">
        <f t="shared" si="3"/>
        <v>97</v>
      </c>
      <c r="X39" s="5">
        <f t="shared" si="2"/>
        <v>859</v>
      </c>
      <c r="Y39" s="9" t="str">
        <f>MID(F39,2,1)&amp;TEXT(X39,"###")</f>
        <v>C859</v>
      </c>
    </row>
    <row r="40" spans="1:25" x14ac:dyDescent="0.2">
      <c r="A40" s="80" t="s">
        <v>425</v>
      </c>
      <c r="B40" s="80">
        <v>1</v>
      </c>
      <c r="C40" s="80">
        <v>13</v>
      </c>
      <c r="D40" s="82">
        <v>45173</v>
      </c>
      <c r="E40" s="82">
        <v>45257</v>
      </c>
      <c r="F40" s="82" t="s">
        <v>362</v>
      </c>
      <c r="G40" s="81" t="s">
        <v>79</v>
      </c>
      <c r="H40" s="86">
        <v>1</v>
      </c>
      <c r="I40" s="81" t="s">
        <v>72</v>
      </c>
      <c r="J40" s="85">
        <v>45214</v>
      </c>
      <c r="K40" s="86">
        <v>0.7</v>
      </c>
      <c r="L40" s="87">
        <f>IF(YB[[#This Row],[Afrondingsdatum YB]]="N/A","-",YB[[#This Row],[Afrondingsdatum YB]]-YB[[#This Row],[StartDatum]])</f>
        <v>41</v>
      </c>
      <c r="M40" s="117"/>
      <c r="N40" s="117" t="s">
        <v>573</v>
      </c>
      <c r="P40">
        <f t="shared" si="3"/>
        <v>108</v>
      </c>
      <c r="Q40">
        <f t="shared" si="3"/>
        <v>97</v>
      </c>
      <c r="R40">
        <f t="shared" si="3"/>
        <v>109</v>
      </c>
      <c r="S40">
        <f t="shared" si="3"/>
        <v>121</v>
      </c>
      <c r="T40">
        <f t="shared" si="3"/>
        <v>97</v>
      </c>
      <c r="U40">
        <f t="shared" si="3"/>
        <v>101</v>
      </c>
      <c r="V40">
        <f t="shared" si="3"/>
        <v>46</v>
      </c>
      <c r="W40">
        <f t="shared" si="3"/>
        <v>101</v>
      </c>
      <c r="X40" s="5">
        <f t="shared" si="2"/>
        <v>859</v>
      </c>
      <c r="Y40" s="9" t="str">
        <f>MID(F40,2,1)&amp;TEXT(X40,"###")</f>
        <v>C859</v>
      </c>
    </row>
    <row r="41" spans="1:25" x14ac:dyDescent="0.2">
      <c r="A41" s="76" t="s">
        <v>425</v>
      </c>
      <c r="B41" s="76">
        <v>1</v>
      </c>
      <c r="C41" s="76">
        <v>13</v>
      </c>
      <c r="D41" s="77">
        <v>45173</v>
      </c>
      <c r="E41" s="77">
        <v>45257</v>
      </c>
      <c r="F41" s="77" t="s">
        <v>363</v>
      </c>
      <c r="G41" s="35" t="s">
        <v>42</v>
      </c>
      <c r="H41" s="36">
        <v>1</v>
      </c>
      <c r="I41" s="35" t="s">
        <v>121</v>
      </c>
      <c r="J41" s="37">
        <v>45227</v>
      </c>
      <c r="K41" s="36">
        <v>0.7</v>
      </c>
      <c r="L41" s="88">
        <f>IF(YB[[#This Row],[Afrondingsdatum YB]]="N/A","-",YB[[#This Row],[Afrondingsdatum YB]]-YB[[#This Row],[StartDatum]])</f>
        <v>54</v>
      </c>
      <c r="M41" s="118"/>
      <c r="N41" s="118" t="s">
        <v>581</v>
      </c>
      <c r="P41">
        <f t="shared" si="3"/>
        <v>108</v>
      </c>
      <c r="Q41">
        <f t="shared" si="3"/>
        <v>105</v>
      </c>
      <c r="R41">
        <f t="shared" si="3"/>
        <v>110</v>
      </c>
      <c r="S41">
        <f t="shared" si="3"/>
        <v>100</v>
      </c>
      <c r="T41">
        <f t="shared" si="3"/>
        <v>121</v>
      </c>
      <c r="U41">
        <f t="shared" si="3"/>
        <v>46</v>
      </c>
      <c r="V41">
        <f t="shared" si="3"/>
        <v>97</v>
      </c>
      <c r="W41">
        <f t="shared" si="3"/>
        <v>110</v>
      </c>
      <c r="X41" s="5">
        <f t="shared" si="2"/>
        <v>890</v>
      </c>
      <c r="Y41" s="9" t="str">
        <f>MID(F41,2,1)&amp;TEXT(X41,"###")</f>
        <v>C890</v>
      </c>
    </row>
    <row r="42" spans="1:25" x14ac:dyDescent="0.2">
      <c r="A42" s="80" t="s">
        <v>425</v>
      </c>
      <c r="B42" s="80">
        <v>1</v>
      </c>
      <c r="C42" s="80">
        <v>13</v>
      </c>
      <c r="D42" s="82">
        <v>45173</v>
      </c>
      <c r="E42" s="82">
        <v>45257</v>
      </c>
      <c r="F42" s="82" t="s">
        <v>363</v>
      </c>
      <c r="G42" s="81" t="s">
        <v>43</v>
      </c>
      <c r="H42" s="86">
        <v>1</v>
      </c>
      <c r="I42" s="81" t="s">
        <v>262</v>
      </c>
      <c r="J42" s="81" t="s">
        <v>7</v>
      </c>
      <c r="K42" s="81" t="s">
        <v>9</v>
      </c>
      <c r="L42" s="87" t="str">
        <f>IF(YB[[#This Row],[Afrondingsdatum YB]]="N/A","-",YB[[#This Row],[Afrondingsdatum YB]]-YB[[#This Row],[StartDatum]])</f>
        <v>-</v>
      </c>
      <c r="M42" s="117"/>
      <c r="N42" s="117" t="s">
        <v>578</v>
      </c>
      <c r="P42">
        <f t="shared" si="3"/>
        <v>108</v>
      </c>
      <c r="Q42">
        <f t="shared" si="3"/>
        <v>117</v>
      </c>
      <c r="R42">
        <f t="shared" si="3"/>
        <v>99</v>
      </c>
      <c r="S42">
        <f t="shared" si="3"/>
        <v>46</v>
      </c>
      <c r="T42">
        <f t="shared" si="3"/>
        <v>98</v>
      </c>
      <c r="U42">
        <f t="shared" si="3"/>
        <v>111</v>
      </c>
      <c r="V42">
        <f t="shared" si="3"/>
        <v>110</v>
      </c>
      <c r="W42">
        <f t="shared" si="3"/>
        <v>100</v>
      </c>
      <c r="X42" s="5">
        <f t="shared" si="2"/>
        <v>894</v>
      </c>
      <c r="Y42" s="9" t="str">
        <f>MID(F42,2,1)&amp;TEXT(X42,"###")</f>
        <v>C894</v>
      </c>
    </row>
    <row r="43" spans="1:25" x14ac:dyDescent="0.2">
      <c r="A43" s="76" t="s">
        <v>425</v>
      </c>
      <c r="B43" s="76">
        <v>1</v>
      </c>
      <c r="C43" s="76">
        <v>13</v>
      </c>
      <c r="D43" s="77">
        <v>45173</v>
      </c>
      <c r="E43" s="77">
        <v>45257</v>
      </c>
      <c r="F43" s="77" t="s">
        <v>364</v>
      </c>
      <c r="G43" s="35" t="s">
        <v>44</v>
      </c>
      <c r="H43" s="36">
        <v>1</v>
      </c>
      <c r="I43" s="35" t="s">
        <v>102</v>
      </c>
      <c r="J43" s="37">
        <v>45217</v>
      </c>
      <c r="K43" s="36">
        <v>0.73</v>
      </c>
      <c r="L43" s="88">
        <f>IF(YB[[#This Row],[Afrondingsdatum YB]]="N/A","-",YB[[#This Row],[Afrondingsdatum YB]]-YB[[#This Row],[StartDatum]])</f>
        <v>44</v>
      </c>
      <c r="M43" s="118"/>
      <c r="N43" s="118" t="s">
        <v>566</v>
      </c>
      <c r="P43">
        <f t="shared" si="3"/>
        <v>108</v>
      </c>
      <c r="Q43">
        <f t="shared" si="3"/>
        <v>117</v>
      </c>
      <c r="R43">
        <f t="shared" si="3"/>
        <v>99</v>
      </c>
      <c r="S43">
        <f t="shared" si="3"/>
        <v>97</v>
      </c>
      <c r="T43">
        <f t="shared" si="3"/>
        <v>115</v>
      </c>
      <c r="U43">
        <f t="shared" si="3"/>
        <v>46</v>
      </c>
      <c r="V43">
        <f t="shared" si="3"/>
        <v>98</v>
      </c>
      <c r="W43">
        <f t="shared" si="3"/>
        <v>114</v>
      </c>
      <c r="X43" s="5">
        <f t="shared" si="2"/>
        <v>861</v>
      </c>
      <c r="Y43" s="9" t="str">
        <f>MID(F43,2,1)&amp;TEXT(X43,"###")</f>
        <v>C861</v>
      </c>
    </row>
    <row r="44" spans="1:25" x14ac:dyDescent="0.2">
      <c r="A44" s="80" t="s">
        <v>425</v>
      </c>
      <c r="B44" s="80">
        <v>1</v>
      </c>
      <c r="C44" s="80">
        <v>13</v>
      </c>
      <c r="D44" s="82">
        <v>45173</v>
      </c>
      <c r="E44" s="82">
        <v>45257</v>
      </c>
      <c r="F44" s="82" t="s">
        <v>363</v>
      </c>
      <c r="G44" s="81" t="s">
        <v>81</v>
      </c>
      <c r="H44" s="86">
        <v>1</v>
      </c>
      <c r="I44" s="81" t="s">
        <v>229</v>
      </c>
      <c r="J44" s="85">
        <v>45228</v>
      </c>
      <c r="K44" s="86">
        <v>0.7</v>
      </c>
      <c r="L44" s="87">
        <f>IF(YB[[#This Row],[Afrondingsdatum YB]]="N/A","-",YB[[#This Row],[Afrondingsdatum YB]]-YB[[#This Row],[StartDatum]])</f>
        <v>55</v>
      </c>
      <c r="M44" s="117"/>
      <c r="N44" s="117" t="s">
        <v>579</v>
      </c>
      <c r="P44">
        <f t="shared" si="3"/>
        <v>76</v>
      </c>
      <c r="Q44">
        <f t="shared" si="3"/>
        <v>117</v>
      </c>
      <c r="R44">
        <f t="shared" si="3"/>
        <v>99</v>
      </c>
      <c r="S44">
        <f t="shared" si="3"/>
        <v>97</v>
      </c>
      <c r="T44">
        <f t="shared" si="3"/>
        <v>115</v>
      </c>
      <c r="U44">
        <f t="shared" si="3"/>
        <v>46</v>
      </c>
      <c r="V44">
        <f t="shared" si="3"/>
        <v>118</v>
      </c>
      <c r="W44">
        <f t="shared" si="3"/>
        <v>97</v>
      </c>
      <c r="X44" s="5">
        <f t="shared" si="2"/>
        <v>832</v>
      </c>
      <c r="Y44" s="9" t="str">
        <f>MID(F44,2,1)&amp;TEXT(X44,"###")</f>
        <v>C832</v>
      </c>
    </row>
    <row r="45" spans="1:25" x14ac:dyDescent="0.2">
      <c r="A45" s="76" t="s">
        <v>425</v>
      </c>
      <c r="B45" s="76">
        <v>1</v>
      </c>
      <c r="C45" s="76">
        <v>13</v>
      </c>
      <c r="D45" s="77">
        <v>45173</v>
      </c>
      <c r="E45" s="77">
        <v>45257</v>
      </c>
      <c r="F45" s="77" t="s">
        <v>364</v>
      </c>
      <c r="G45" s="35" t="s">
        <v>45</v>
      </c>
      <c r="H45" s="36">
        <v>1</v>
      </c>
      <c r="I45" s="35" t="s">
        <v>146</v>
      </c>
      <c r="J45" s="37">
        <v>45238</v>
      </c>
      <c r="K45" s="36">
        <v>0.85</v>
      </c>
      <c r="L45" s="88">
        <f>IF(YB[[#This Row],[Afrondingsdatum YB]]="N/A","-",YB[[#This Row],[Afrondingsdatum YB]]-YB[[#This Row],[StartDatum]])</f>
        <v>65</v>
      </c>
      <c r="M45" s="118"/>
      <c r="N45" s="118" t="s">
        <v>562</v>
      </c>
      <c r="P45">
        <f t="shared" si="3"/>
        <v>109</v>
      </c>
      <c r="Q45">
        <f t="shared" si="3"/>
        <v>97</v>
      </c>
      <c r="R45">
        <f t="shared" si="3"/>
        <v>114</v>
      </c>
      <c r="S45">
        <f t="shared" si="3"/>
        <v>116</v>
      </c>
      <c r="T45">
        <f t="shared" si="3"/>
        <v>105</v>
      </c>
      <c r="U45">
        <f t="shared" si="3"/>
        <v>106</v>
      </c>
      <c r="V45">
        <f t="shared" si="3"/>
        <v>110</v>
      </c>
      <c r="W45">
        <f t="shared" si="3"/>
        <v>46</v>
      </c>
      <c r="X45" s="5">
        <f t="shared" si="2"/>
        <v>896</v>
      </c>
      <c r="Y45" s="9" t="str">
        <f>MID(F45,2,1)&amp;TEXT(X45,"###")</f>
        <v>C896</v>
      </c>
    </row>
    <row r="46" spans="1:25" x14ac:dyDescent="0.2">
      <c r="A46" s="80" t="s">
        <v>425</v>
      </c>
      <c r="B46" s="80">
        <v>1</v>
      </c>
      <c r="C46" s="80">
        <v>13</v>
      </c>
      <c r="D46" s="82">
        <v>45173</v>
      </c>
      <c r="E46" s="82">
        <v>45257</v>
      </c>
      <c r="F46" s="82" t="s">
        <v>364</v>
      </c>
      <c r="G46" s="81" t="s">
        <v>46</v>
      </c>
      <c r="H46" s="86">
        <v>1</v>
      </c>
      <c r="I46" s="81" t="s">
        <v>210</v>
      </c>
      <c r="J46" s="85">
        <v>45217</v>
      </c>
      <c r="K46" s="86">
        <v>0.85</v>
      </c>
      <c r="L46" s="87">
        <f>IF(YB[[#This Row],[Afrondingsdatum YB]]="N/A","-",YB[[#This Row],[Afrondingsdatum YB]]-YB[[#This Row],[StartDatum]])</f>
        <v>44</v>
      </c>
      <c r="M46" s="117"/>
      <c r="N46" s="117" t="s">
        <v>565</v>
      </c>
      <c r="P46">
        <f t="shared" si="3"/>
        <v>109</v>
      </c>
      <c r="Q46">
        <f t="shared" si="3"/>
        <v>97</v>
      </c>
      <c r="R46">
        <f t="shared" si="3"/>
        <v>114</v>
      </c>
      <c r="S46">
        <f t="shared" si="3"/>
        <v>119</v>
      </c>
      <c r="T46">
        <f t="shared" si="3"/>
        <v>97</v>
      </c>
      <c r="U46">
        <f t="shared" si="3"/>
        <v>46</v>
      </c>
      <c r="V46">
        <f t="shared" si="3"/>
        <v>100</v>
      </c>
      <c r="W46">
        <f t="shared" si="3"/>
        <v>97</v>
      </c>
      <c r="X46" s="5">
        <f t="shared" si="2"/>
        <v>869</v>
      </c>
      <c r="Y46" s="9" t="str">
        <f>MID(F46,2,1)&amp;TEXT(X46,"###")</f>
        <v>C869</v>
      </c>
    </row>
    <row r="47" spans="1:25" x14ac:dyDescent="0.2">
      <c r="A47" s="76" t="s">
        <v>425</v>
      </c>
      <c r="B47" s="76">
        <v>1</v>
      </c>
      <c r="C47" s="76">
        <v>13</v>
      </c>
      <c r="D47" s="77">
        <v>45173</v>
      </c>
      <c r="E47" s="77">
        <v>45257</v>
      </c>
      <c r="F47" s="77" t="s">
        <v>362</v>
      </c>
      <c r="G47" s="35" t="s">
        <v>245</v>
      </c>
      <c r="H47" s="36">
        <v>0.88</v>
      </c>
      <c r="I47" s="35" t="s">
        <v>274</v>
      </c>
      <c r="J47" s="35" t="s">
        <v>7</v>
      </c>
      <c r="K47" s="35" t="s">
        <v>9</v>
      </c>
      <c r="L47" s="88" t="str">
        <f>IF(YB[[#This Row],[Afrondingsdatum YB]]="N/A","-",YB[[#This Row],[Afrondingsdatum YB]]-YB[[#This Row],[StartDatum]])</f>
        <v>-</v>
      </c>
      <c r="M47" s="118"/>
      <c r="N47" s="118" t="s">
        <v>573</v>
      </c>
      <c r="P47">
        <f t="shared" si="3"/>
        <v>109</v>
      </c>
      <c r="Q47">
        <f t="shared" si="3"/>
        <v>97</v>
      </c>
      <c r="R47">
        <f t="shared" si="3"/>
        <v>114</v>
      </c>
      <c r="S47">
        <f t="shared" si="3"/>
        <v>119</v>
      </c>
      <c r="T47">
        <f t="shared" si="3"/>
        <v>97</v>
      </c>
      <c r="U47">
        <f t="shared" si="3"/>
        <v>110</v>
      </c>
      <c r="V47">
        <f t="shared" si="3"/>
        <v>46</v>
      </c>
      <c r="W47">
        <f t="shared" si="3"/>
        <v>97</v>
      </c>
      <c r="X47" s="5">
        <f t="shared" si="2"/>
        <v>879</v>
      </c>
      <c r="Y47" s="9" t="str">
        <f>MID(F47,2,1)&amp;TEXT(X47,"###")</f>
        <v>C879</v>
      </c>
    </row>
    <row r="48" spans="1:25" x14ac:dyDescent="0.2">
      <c r="A48" s="80" t="s">
        <v>425</v>
      </c>
      <c r="B48" s="80">
        <v>1</v>
      </c>
      <c r="C48" s="80">
        <v>13</v>
      </c>
      <c r="D48" s="82">
        <v>45173</v>
      </c>
      <c r="E48" s="82">
        <v>45257</v>
      </c>
      <c r="F48" s="82" t="s">
        <v>364</v>
      </c>
      <c r="G48" s="81" t="s">
        <v>47</v>
      </c>
      <c r="H48" s="86">
        <v>1</v>
      </c>
      <c r="I48" s="81" t="s">
        <v>273</v>
      </c>
      <c r="J48" s="85">
        <v>45248</v>
      </c>
      <c r="K48" s="86">
        <v>0.78</v>
      </c>
      <c r="L48" s="87">
        <f>IF(YB[[#This Row],[Afrondingsdatum YB]]="N/A","-",YB[[#This Row],[Afrondingsdatum YB]]-YB[[#This Row],[StartDatum]])</f>
        <v>75</v>
      </c>
      <c r="M48" s="117"/>
      <c r="N48" s="117" t="s">
        <v>569</v>
      </c>
      <c r="P48">
        <f t="shared" si="3"/>
        <v>109</v>
      </c>
      <c r="Q48">
        <f t="shared" si="3"/>
        <v>101</v>
      </c>
      <c r="R48">
        <f t="shared" si="3"/>
        <v>101</v>
      </c>
      <c r="S48">
        <f t="shared" si="3"/>
        <v>115</v>
      </c>
      <c r="T48">
        <f t="shared" si="3"/>
        <v>46</v>
      </c>
      <c r="U48">
        <f t="shared" si="3"/>
        <v>100</v>
      </c>
      <c r="V48">
        <f t="shared" si="3"/>
        <v>101</v>
      </c>
      <c r="W48">
        <f t="shared" si="3"/>
        <v>46</v>
      </c>
      <c r="X48" s="5">
        <f t="shared" si="2"/>
        <v>784</v>
      </c>
      <c r="Y48" s="9" t="str">
        <f>MID(F48,2,1)&amp;TEXT(X48,"###")</f>
        <v>C784</v>
      </c>
    </row>
    <row r="49" spans="1:25" x14ac:dyDescent="0.2">
      <c r="A49" s="76" t="s">
        <v>425</v>
      </c>
      <c r="B49" s="76">
        <v>1</v>
      </c>
      <c r="C49" s="76">
        <v>13</v>
      </c>
      <c r="D49" s="77">
        <v>45173</v>
      </c>
      <c r="E49" s="77">
        <v>45257</v>
      </c>
      <c r="F49" s="77" t="s">
        <v>363</v>
      </c>
      <c r="G49" s="35" t="s">
        <v>48</v>
      </c>
      <c r="H49" s="36">
        <v>1</v>
      </c>
      <c r="I49" s="35" t="s">
        <v>189</v>
      </c>
      <c r="J49" s="37">
        <v>45226</v>
      </c>
      <c r="K49" s="36">
        <v>0.8</v>
      </c>
      <c r="L49" s="88">
        <f>IF(YB[[#This Row],[Afrondingsdatum YB]]="N/A","-",YB[[#This Row],[Afrondingsdatum YB]]-YB[[#This Row],[StartDatum]])</f>
        <v>53</v>
      </c>
      <c r="M49" s="118"/>
      <c r="N49" s="118" t="s">
        <v>580</v>
      </c>
      <c r="P49">
        <f t="shared" si="3"/>
        <v>109</v>
      </c>
      <c r="Q49">
        <f t="shared" si="3"/>
        <v>105</v>
      </c>
      <c r="R49">
        <f t="shared" si="3"/>
        <v>108</v>
      </c>
      <c r="S49">
        <f t="shared" si="3"/>
        <v>97</v>
      </c>
      <c r="T49">
        <f t="shared" si="3"/>
        <v>110</v>
      </c>
      <c r="U49">
        <f t="shared" si="3"/>
        <v>46</v>
      </c>
      <c r="V49">
        <f t="shared" si="3"/>
        <v>100</v>
      </c>
      <c r="W49">
        <f t="shared" si="3"/>
        <v>105</v>
      </c>
      <c r="X49" s="5">
        <f t="shared" si="2"/>
        <v>871</v>
      </c>
      <c r="Y49" s="9" t="str">
        <f>MID(F49,2,1)&amp;TEXT(X49,"###")</f>
        <v>C871</v>
      </c>
    </row>
    <row r="50" spans="1:25" x14ac:dyDescent="0.2">
      <c r="A50" s="80" t="s">
        <v>425</v>
      </c>
      <c r="B50" s="80">
        <v>1</v>
      </c>
      <c r="C50" s="80">
        <v>13</v>
      </c>
      <c r="D50" s="82">
        <v>45173</v>
      </c>
      <c r="E50" s="82">
        <v>45257</v>
      </c>
      <c r="F50" s="82" t="s">
        <v>364</v>
      </c>
      <c r="G50" s="81" t="s">
        <v>49</v>
      </c>
      <c r="H50" s="86">
        <v>1</v>
      </c>
      <c r="I50" s="81" t="s">
        <v>211</v>
      </c>
      <c r="J50" s="85">
        <v>45217</v>
      </c>
      <c r="K50" s="86">
        <v>0.73</v>
      </c>
      <c r="L50" s="87">
        <f>IF(YB[[#This Row],[Afrondingsdatum YB]]="N/A","-",YB[[#This Row],[Afrondingsdatum YB]]-YB[[#This Row],[StartDatum]])</f>
        <v>44</v>
      </c>
      <c r="M50" s="117"/>
      <c r="N50" s="117" t="s">
        <v>564</v>
      </c>
      <c r="P50">
        <f t="shared" si="3"/>
        <v>109</v>
      </c>
      <c r="Q50">
        <f t="shared" si="3"/>
        <v>105</v>
      </c>
      <c r="R50">
        <f t="shared" si="3"/>
        <v>114</v>
      </c>
      <c r="S50">
        <f t="shared" si="3"/>
        <v>110</v>
      </c>
      <c r="T50">
        <f t="shared" si="3"/>
        <v>97</v>
      </c>
      <c r="U50">
        <f t="shared" si="3"/>
        <v>46</v>
      </c>
      <c r="V50">
        <f t="shared" si="3"/>
        <v>109</v>
      </c>
      <c r="W50">
        <f t="shared" si="3"/>
        <v>111</v>
      </c>
      <c r="X50" s="5">
        <f t="shared" si="2"/>
        <v>894</v>
      </c>
      <c r="Y50" s="9" t="str">
        <f>MID(F50,2,1)&amp;TEXT(X50,"###")</f>
        <v>C894</v>
      </c>
    </row>
    <row r="51" spans="1:25" x14ac:dyDescent="0.2">
      <c r="A51" s="76" t="s">
        <v>425</v>
      </c>
      <c r="B51" s="76">
        <v>1</v>
      </c>
      <c r="C51" s="76">
        <v>13</v>
      </c>
      <c r="D51" s="77">
        <v>45173</v>
      </c>
      <c r="E51" s="77">
        <v>45257</v>
      </c>
      <c r="F51" s="77" t="s">
        <v>364</v>
      </c>
      <c r="G51" s="35" t="s">
        <v>50</v>
      </c>
      <c r="H51" s="36">
        <v>1</v>
      </c>
      <c r="I51" s="35" t="s">
        <v>212</v>
      </c>
      <c r="J51" s="37">
        <v>45217</v>
      </c>
      <c r="K51" s="36">
        <v>0.75</v>
      </c>
      <c r="L51" s="88">
        <f>IF(YB[[#This Row],[Afrondingsdatum YB]]="N/A","-",YB[[#This Row],[Afrondingsdatum YB]]-YB[[#This Row],[StartDatum]])</f>
        <v>44</v>
      </c>
      <c r="M51" s="118"/>
      <c r="N51" s="118" t="s">
        <v>562</v>
      </c>
      <c r="P51">
        <f t="shared" si="3"/>
        <v>109</v>
      </c>
      <c r="Q51">
        <f t="shared" si="3"/>
        <v>111</v>
      </c>
      <c r="R51">
        <f t="shared" si="3"/>
        <v>104</v>
      </c>
      <c r="S51">
        <f t="shared" si="3"/>
        <v>97</v>
      </c>
      <c r="T51">
        <f t="shared" si="3"/>
        <v>109</v>
      </c>
      <c r="U51">
        <f t="shared" si="3"/>
        <v>101</v>
      </c>
      <c r="V51">
        <f t="shared" si="3"/>
        <v>100</v>
      </c>
      <c r="W51">
        <f t="shared" si="3"/>
        <v>46</v>
      </c>
      <c r="X51" s="5">
        <f t="shared" si="2"/>
        <v>857</v>
      </c>
      <c r="Y51" s="9" t="str">
        <f>MID(F51,2,1)&amp;TEXT(X51,"###")</f>
        <v>C857</v>
      </c>
    </row>
    <row r="52" spans="1:25" x14ac:dyDescent="0.2">
      <c r="A52" s="80" t="s">
        <v>425</v>
      </c>
      <c r="B52" s="80">
        <v>1</v>
      </c>
      <c r="C52" s="80">
        <v>13</v>
      </c>
      <c r="D52" s="82">
        <v>45173</v>
      </c>
      <c r="E52" s="82">
        <v>45257</v>
      </c>
      <c r="F52" s="82" t="s">
        <v>362</v>
      </c>
      <c r="G52" s="81" t="s">
        <v>127</v>
      </c>
      <c r="H52" s="86">
        <v>0.19</v>
      </c>
      <c r="I52" s="81" t="s">
        <v>111</v>
      </c>
      <c r="J52" s="81" t="s">
        <v>7</v>
      </c>
      <c r="K52" s="81" t="s">
        <v>9</v>
      </c>
      <c r="L52" s="87" t="str">
        <f>IF(YB[[#This Row],[Afrondingsdatum YB]]="N/A","-",YB[[#This Row],[Afrondingsdatum YB]]-YB[[#This Row],[StartDatum]])</f>
        <v>-</v>
      </c>
      <c r="M52" s="117"/>
      <c r="N52" s="117" t="s">
        <v>571</v>
      </c>
      <c r="P52">
        <f t="shared" si="3"/>
        <v>109</v>
      </c>
      <c r="Q52">
        <f t="shared" si="3"/>
        <v>111</v>
      </c>
      <c r="R52">
        <f t="shared" si="3"/>
        <v>107</v>
      </c>
      <c r="S52">
        <f t="shared" si="3"/>
        <v>104</v>
      </c>
      <c r="T52">
        <f t="shared" si="3"/>
        <v>116</v>
      </c>
      <c r="U52">
        <f t="shared" si="3"/>
        <v>97</v>
      </c>
      <c r="V52">
        <f t="shared" si="3"/>
        <v>114</v>
      </c>
      <c r="W52">
        <f t="shared" si="3"/>
        <v>46</v>
      </c>
      <c r="X52" s="5">
        <f t="shared" si="2"/>
        <v>885</v>
      </c>
      <c r="Y52" s="9" t="str">
        <f>MID(F52,2,1)&amp;TEXT(X52,"###")</f>
        <v>C885</v>
      </c>
    </row>
    <row r="53" spans="1:25" x14ac:dyDescent="0.2">
      <c r="A53" s="76" t="s">
        <v>425</v>
      </c>
      <c r="B53" s="76">
        <v>1</v>
      </c>
      <c r="C53" s="76">
        <v>13</v>
      </c>
      <c r="D53" s="77">
        <v>45173</v>
      </c>
      <c r="E53" s="77">
        <v>45257</v>
      </c>
      <c r="F53" s="77" t="s">
        <v>363</v>
      </c>
      <c r="G53" s="35" t="s">
        <v>51</v>
      </c>
      <c r="H53" s="36">
        <v>1</v>
      </c>
      <c r="I53" s="35" t="s">
        <v>231</v>
      </c>
      <c r="J53" s="37">
        <v>45228</v>
      </c>
      <c r="K53" s="36">
        <v>0.75</v>
      </c>
      <c r="L53" s="88">
        <f>IF(YB[[#This Row],[Afrondingsdatum YB]]="N/A","-",YB[[#This Row],[Afrondingsdatum YB]]-YB[[#This Row],[StartDatum]])</f>
        <v>55</v>
      </c>
      <c r="M53" s="118"/>
      <c r="N53" s="118" t="s">
        <v>578</v>
      </c>
      <c r="P53">
        <f t="shared" si="3"/>
        <v>110</v>
      </c>
      <c r="Q53">
        <f t="shared" si="3"/>
        <v>97</v>
      </c>
      <c r="R53">
        <f t="shared" si="3"/>
        <v>111</v>
      </c>
      <c r="S53">
        <f t="shared" si="3"/>
        <v>117</v>
      </c>
      <c r="T53">
        <f t="shared" si="3"/>
        <v>102</v>
      </c>
      <c r="U53">
        <f t="shared" si="3"/>
        <v>97</v>
      </c>
      <c r="V53">
        <f t="shared" si="3"/>
        <v>108</v>
      </c>
      <c r="W53">
        <f t="shared" si="3"/>
        <v>46</v>
      </c>
      <c r="X53" s="5">
        <f t="shared" si="2"/>
        <v>874</v>
      </c>
      <c r="Y53" s="9" t="str">
        <f>MID(F53,2,1)&amp;TEXT(X53,"###")</f>
        <v>C874</v>
      </c>
    </row>
    <row r="54" spans="1:25" x14ac:dyDescent="0.2">
      <c r="A54" s="80" t="s">
        <v>425</v>
      </c>
      <c r="B54" s="80">
        <v>1</v>
      </c>
      <c r="C54" s="80">
        <v>13</v>
      </c>
      <c r="D54" s="82">
        <v>45173</v>
      </c>
      <c r="E54" s="82">
        <v>45257</v>
      </c>
      <c r="F54" s="82" t="s">
        <v>362</v>
      </c>
      <c r="G54" s="81" t="s">
        <v>52</v>
      </c>
      <c r="H54" s="86">
        <v>1</v>
      </c>
      <c r="I54" s="81" t="s">
        <v>145</v>
      </c>
      <c r="J54" s="85">
        <v>45238</v>
      </c>
      <c r="K54" s="86">
        <v>0.8</v>
      </c>
      <c r="L54" s="87">
        <f>IF(YB[[#This Row],[Afrondingsdatum YB]]="N/A","-",YB[[#This Row],[Afrondingsdatum YB]]-YB[[#This Row],[StartDatum]])</f>
        <v>65</v>
      </c>
      <c r="M54" s="117"/>
      <c r="N54" s="117" t="s">
        <v>572</v>
      </c>
      <c r="P54">
        <f t="shared" si="3"/>
        <v>110</v>
      </c>
      <c r="Q54">
        <f t="shared" si="3"/>
        <v>105</v>
      </c>
      <c r="R54">
        <f t="shared" si="3"/>
        <v>99</v>
      </c>
      <c r="S54">
        <f t="shared" si="3"/>
        <v>107</v>
      </c>
      <c r="T54">
        <f t="shared" si="3"/>
        <v>46</v>
      </c>
      <c r="U54">
        <f t="shared" si="3"/>
        <v>106</v>
      </c>
      <c r="V54">
        <f t="shared" si="3"/>
        <v>111</v>
      </c>
      <c r="W54">
        <f t="shared" si="3"/>
        <v>111</v>
      </c>
      <c r="X54" s="5">
        <f t="shared" si="2"/>
        <v>860</v>
      </c>
      <c r="Y54" s="9" t="str">
        <f>MID(F54,2,1)&amp;TEXT(X54,"###")</f>
        <v>C860</v>
      </c>
    </row>
    <row r="55" spans="1:25" x14ac:dyDescent="0.2">
      <c r="A55" s="76" t="s">
        <v>425</v>
      </c>
      <c r="B55" s="76">
        <v>1</v>
      </c>
      <c r="C55" s="76">
        <v>13</v>
      </c>
      <c r="D55" s="77">
        <v>45173</v>
      </c>
      <c r="E55" s="77">
        <v>45257</v>
      </c>
      <c r="F55" s="77" t="s">
        <v>364</v>
      </c>
      <c r="G55" s="35" t="s">
        <v>53</v>
      </c>
      <c r="H55" s="36">
        <v>1</v>
      </c>
      <c r="I55" s="35" t="s">
        <v>194</v>
      </c>
      <c r="J55" s="37">
        <v>45234</v>
      </c>
      <c r="K55" s="36">
        <v>0.78</v>
      </c>
      <c r="L55" s="88">
        <f>IF(YB[[#This Row],[Afrondingsdatum YB]]="N/A","-",YB[[#This Row],[Afrondingsdatum YB]]-YB[[#This Row],[StartDatum]])</f>
        <v>61</v>
      </c>
      <c r="M55" s="118"/>
      <c r="N55" s="118" t="s">
        <v>564</v>
      </c>
      <c r="P55">
        <f t="shared" si="3"/>
        <v>110</v>
      </c>
      <c r="Q55">
        <f t="shared" si="3"/>
        <v>105</v>
      </c>
      <c r="R55">
        <f t="shared" si="3"/>
        <v>99</v>
      </c>
      <c r="S55">
        <f t="shared" si="3"/>
        <v>107</v>
      </c>
      <c r="T55">
        <f t="shared" si="3"/>
        <v>111</v>
      </c>
      <c r="U55">
        <f t="shared" si="3"/>
        <v>108</v>
      </c>
      <c r="V55">
        <f t="shared" si="3"/>
        <v>97</v>
      </c>
      <c r="W55">
        <f t="shared" si="3"/>
        <v>115</v>
      </c>
      <c r="X55" s="5">
        <f t="shared" si="2"/>
        <v>917</v>
      </c>
      <c r="Y55" s="9" t="str">
        <f>MID(F55,2,1)&amp;TEXT(X55,"###")</f>
        <v>C917</v>
      </c>
    </row>
    <row r="56" spans="1:25" x14ac:dyDescent="0.2">
      <c r="A56" s="80" t="s">
        <v>425</v>
      </c>
      <c r="B56" s="80">
        <v>1</v>
      </c>
      <c r="C56" s="80">
        <v>13</v>
      </c>
      <c r="D56" s="82">
        <v>45173</v>
      </c>
      <c r="E56" s="82">
        <v>45257</v>
      </c>
      <c r="F56" s="82" t="s">
        <v>364</v>
      </c>
      <c r="G56" s="81" t="s">
        <v>54</v>
      </c>
      <c r="H56" s="86">
        <v>1</v>
      </c>
      <c r="I56" s="81" t="s">
        <v>265</v>
      </c>
      <c r="J56" s="85">
        <v>45242</v>
      </c>
      <c r="K56" s="86">
        <v>0.73</v>
      </c>
      <c r="L56" s="87">
        <f>IF(YB[[#This Row],[Afrondingsdatum YB]]="N/A","-",YB[[#This Row],[Afrondingsdatum YB]]-YB[[#This Row],[StartDatum]])</f>
        <v>69</v>
      </c>
      <c r="M56" s="117"/>
      <c r="N56" s="117" t="s">
        <v>565</v>
      </c>
      <c r="P56">
        <f t="shared" si="3"/>
        <v>110</v>
      </c>
      <c r="Q56">
        <f t="shared" si="3"/>
        <v>105</v>
      </c>
      <c r="R56">
        <f t="shared" si="3"/>
        <v>115</v>
      </c>
      <c r="S56">
        <f t="shared" si="3"/>
        <v>114</v>
      </c>
      <c r="T56">
        <f t="shared" si="3"/>
        <v>105</v>
      </c>
      <c r="U56">
        <f t="shared" si="3"/>
        <v>110</v>
      </c>
      <c r="V56">
        <f t="shared" si="3"/>
        <v>46</v>
      </c>
      <c r="W56">
        <f t="shared" si="3"/>
        <v>104</v>
      </c>
      <c r="X56" s="5">
        <f t="shared" si="2"/>
        <v>901</v>
      </c>
      <c r="Y56" s="9" t="str">
        <f>MID(F56,2,1)&amp;TEXT(X56,"###")</f>
        <v>C901</v>
      </c>
    </row>
    <row r="57" spans="1:25" x14ac:dyDescent="0.2">
      <c r="A57" s="76" t="s">
        <v>425</v>
      </c>
      <c r="B57" s="76">
        <v>1</v>
      </c>
      <c r="C57" s="76">
        <v>13</v>
      </c>
      <c r="D57" s="77">
        <v>45173</v>
      </c>
      <c r="E57" s="77">
        <v>45257</v>
      </c>
      <c r="F57" s="77" t="s">
        <v>364</v>
      </c>
      <c r="G57" s="35" t="s">
        <v>55</v>
      </c>
      <c r="H57" s="36">
        <v>1</v>
      </c>
      <c r="I57" s="35" t="s">
        <v>214</v>
      </c>
      <c r="J57" s="37">
        <v>45217</v>
      </c>
      <c r="K57" s="36">
        <v>0.95</v>
      </c>
      <c r="L57" s="88">
        <f>IF(YB[[#This Row],[Afrondingsdatum YB]]="N/A","-",YB[[#This Row],[Afrondingsdatum YB]]-YB[[#This Row],[StartDatum]])</f>
        <v>44</v>
      </c>
      <c r="M57" s="118"/>
      <c r="N57" s="118" t="s">
        <v>562</v>
      </c>
      <c r="P57">
        <f t="shared" si="3"/>
        <v>110</v>
      </c>
      <c r="Q57">
        <f t="shared" si="3"/>
        <v>111</v>
      </c>
      <c r="R57">
        <f t="shared" si="3"/>
        <v>101</v>
      </c>
      <c r="S57">
        <f t="shared" si="3"/>
        <v>108</v>
      </c>
      <c r="T57">
        <f t="shared" si="3"/>
        <v>108</v>
      </c>
      <c r="U57">
        <f t="shared" si="3"/>
        <v>97</v>
      </c>
      <c r="V57">
        <f t="shared" si="3"/>
        <v>46</v>
      </c>
      <c r="W57">
        <f t="shared" si="3"/>
        <v>108</v>
      </c>
      <c r="X57" s="5">
        <f t="shared" si="2"/>
        <v>855</v>
      </c>
      <c r="Y57" s="9" t="str">
        <f>MID(F57,2,1)&amp;TEXT(X57,"###")</f>
        <v>C855</v>
      </c>
    </row>
    <row r="58" spans="1:25" x14ac:dyDescent="0.2">
      <c r="A58" s="80" t="s">
        <v>425</v>
      </c>
      <c r="B58" s="80">
        <v>1</v>
      </c>
      <c r="C58" s="80">
        <v>13</v>
      </c>
      <c r="D58" s="82">
        <v>45173</v>
      </c>
      <c r="E58" s="82">
        <v>45257</v>
      </c>
      <c r="F58" s="82" t="s">
        <v>363</v>
      </c>
      <c r="G58" s="81" t="s">
        <v>56</v>
      </c>
      <c r="H58" s="86">
        <v>1</v>
      </c>
      <c r="I58" s="81" t="s">
        <v>232</v>
      </c>
      <c r="J58" s="85">
        <v>45228</v>
      </c>
      <c r="K58" s="86">
        <v>0.83</v>
      </c>
      <c r="L58" s="87">
        <f>IF(YB[[#This Row],[Afrondingsdatum YB]]="N/A","-",YB[[#This Row],[Afrondingsdatum YB]]-YB[[#This Row],[StartDatum]])</f>
        <v>55</v>
      </c>
      <c r="M58" s="117"/>
      <c r="N58" s="121" t="s">
        <v>8</v>
      </c>
      <c r="P58">
        <f t="shared" si="3"/>
        <v>110</v>
      </c>
      <c r="Q58">
        <f t="shared" si="3"/>
        <v>117</v>
      </c>
      <c r="R58">
        <f t="shared" si="3"/>
        <v>112</v>
      </c>
      <c r="S58">
        <f t="shared" si="3"/>
        <v>101</v>
      </c>
      <c r="T58">
        <f t="shared" si="3"/>
        <v>108</v>
      </c>
      <c r="U58">
        <f t="shared" si="3"/>
        <v>46</v>
      </c>
      <c r="V58">
        <f t="shared" si="3"/>
        <v>114</v>
      </c>
      <c r="W58">
        <f t="shared" si="3"/>
        <v>117</v>
      </c>
      <c r="X58" s="5">
        <f t="shared" si="2"/>
        <v>915</v>
      </c>
      <c r="Y58" s="9" t="str">
        <f>MID(F58,2,1)&amp;TEXT(X58,"###")</f>
        <v>C915</v>
      </c>
    </row>
    <row r="59" spans="1:25" x14ac:dyDescent="0.2">
      <c r="A59" s="76" t="s">
        <v>425</v>
      </c>
      <c r="B59" s="76">
        <v>1</v>
      </c>
      <c r="C59" s="76">
        <v>13</v>
      </c>
      <c r="D59" s="77">
        <v>45173</v>
      </c>
      <c r="E59" s="77">
        <v>45257</v>
      </c>
      <c r="F59" s="77" t="s">
        <v>364</v>
      </c>
      <c r="G59" s="35" t="s">
        <v>57</v>
      </c>
      <c r="H59" s="36">
        <v>1</v>
      </c>
      <c r="I59" s="35" t="s">
        <v>233</v>
      </c>
      <c r="J59" s="37">
        <v>45228</v>
      </c>
      <c r="K59" s="36">
        <v>0.73</v>
      </c>
      <c r="L59" s="88">
        <f>IF(YB[[#This Row],[Afrondingsdatum YB]]="N/A","-",YB[[#This Row],[Afrondingsdatum YB]]-YB[[#This Row],[StartDatum]])</f>
        <v>55</v>
      </c>
      <c r="M59" s="118"/>
      <c r="N59" s="118" t="s">
        <v>568</v>
      </c>
      <c r="P59">
        <f t="shared" si="3"/>
        <v>111</v>
      </c>
      <c r="Q59">
        <f t="shared" si="3"/>
        <v>108</v>
      </c>
      <c r="R59">
        <f t="shared" si="3"/>
        <v>105</v>
      </c>
      <c r="S59">
        <f t="shared" si="3"/>
        <v>118</v>
      </c>
      <c r="T59">
        <f t="shared" si="3"/>
        <v>105</v>
      </c>
      <c r="U59">
        <f t="shared" si="3"/>
        <v>101</v>
      </c>
      <c r="V59">
        <f t="shared" si="3"/>
        <v>114</v>
      </c>
      <c r="W59">
        <f t="shared" si="3"/>
        <v>46</v>
      </c>
      <c r="X59" s="5">
        <f t="shared" si="2"/>
        <v>876</v>
      </c>
      <c r="Y59" s="9" t="str">
        <f>MID(F59,2,1)&amp;TEXT(X59,"###")</f>
        <v>C876</v>
      </c>
    </row>
    <row r="60" spans="1:25" x14ac:dyDescent="0.2">
      <c r="A60" s="80" t="s">
        <v>425</v>
      </c>
      <c r="B60" s="80">
        <v>1</v>
      </c>
      <c r="C60" s="80">
        <v>13</v>
      </c>
      <c r="D60" s="82">
        <v>45173</v>
      </c>
      <c r="E60" s="82">
        <v>45257</v>
      </c>
      <c r="F60" s="82" t="s">
        <v>362</v>
      </c>
      <c r="G60" s="81" t="s">
        <v>58</v>
      </c>
      <c r="H60" s="86">
        <v>1</v>
      </c>
      <c r="I60" s="81" t="s">
        <v>266</v>
      </c>
      <c r="J60" s="85">
        <v>45237</v>
      </c>
      <c r="K60" s="86">
        <v>0.9</v>
      </c>
      <c r="L60" s="87">
        <f>IF(YB[[#This Row],[Afrondingsdatum YB]]="N/A","-",YB[[#This Row],[Afrondingsdatum YB]]-YB[[#This Row],[StartDatum]])</f>
        <v>64</v>
      </c>
      <c r="M60" s="117"/>
      <c r="N60" s="117" t="s">
        <v>575</v>
      </c>
      <c r="P60">
        <f t="shared" si="3"/>
        <v>112</v>
      </c>
      <c r="Q60">
        <f t="shared" si="3"/>
        <v>97</v>
      </c>
      <c r="R60">
        <f t="shared" si="3"/>
        <v>117</v>
      </c>
      <c r="S60">
        <f t="shared" si="3"/>
        <v>108</v>
      </c>
      <c r="T60">
        <f t="shared" si="3"/>
        <v>46</v>
      </c>
      <c r="U60">
        <f t="shared" si="3"/>
        <v>100</v>
      </c>
      <c r="V60">
        <f t="shared" si="3"/>
        <v>101</v>
      </c>
      <c r="W60">
        <f t="shared" si="3"/>
        <v>46</v>
      </c>
      <c r="X60" s="5">
        <f t="shared" si="2"/>
        <v>832</v>
      </c>
      <c r="Y60" s="9" t="str">
        <f>MID(F60,2,1)&amp;TEXT(X60,"###")</f>
        <v>C832</v>
      </c>
    </row>
    <row r="61" spans="1:25" x14ac:dyDescent="0.2">
      <c r="A61" s="76" t="s">
        <v>425</v>
      </c>
      <c r="B61" s="76">
        <v>1</v>
      </c>
      <c r="C61" s="76">
        <v>13</v>
      </c>
      <c r="D61" s="77">
        <v>45173</v>
      </c>
      <c r="E61" s="77">
        <v>45257</v>
      </c>
      <c r="F61" s="77" t="s">
        <v>364</v>
      </c>
      <c r="G61" s="35" t="s">
        <v>59</v>
      </c>
      <c r="H61" s="36">
        <v>1</v>
      </c>
      <c r="I61" s="35" t="s">
        <v>148</v>
      </c>
      <c r="J61" s="37">
        <v>45236</v>
      </c>
      <c r="K61" s="36">
        <v>0.78</v>
      </c>
      <c r="L61" s="88">
        <f>IF(YB[[#This Row],[Afrondingsdatum YB]]="N/A","-",YB[[#This Row],[Afrondingsdatum YB]]-YB[[#This Row],[StartDatum]])</f>
        <v>63</v>
      </c>
      <c r="M61" s="118"/>
      <c r="N61" s="118" t="s">
        <v>568</v>
      </c>
      <c r="P61">
        <f t="shared" si="3"/>
        <v>112</v>
      </c>
      <c r="Q61">
        <f t="shared" si="3"/>
        <v>105</v>
      </c>
      <c r="R61">
        <f t="shared" si="3"/>
        <v>101</v>
      </c>
      <c r="S61">
        <f t="shared" si="3"/>
        <v>116</v>
      </c>
      <c r="T61">
        <f t="shared" si="3"/>
        <v>101</v>
      </c>
      <c r="U61">
        <f t="shared" si="3"/>
        <v>114</v>
      </c>
      <c r="V61">
        <f t="shared" si="3"/>
        <v>46</v>
      </c>
      <c r="W61">
        <f t="shared" si="3"/>
        <v>109</v>
      </c>
      <c r="X61" s="5">
        <f t="shared" si="2"/>
        <v>867</v>
      </c>
      <c r="Y61" s="9" t="str">
        <f>MID(F61,2,1)&amp;TEXT(X61,"###")</f>
        <v>C867</v>
      </c>
    </row>
    <row r="62" spans="1:25" x14ac:dyDescent="0.2">
      <c r="A62" s="80" t="s">
        <v>425</v>
      </c>
      <c r="B62" s="80">
        <v>1</v>
      </c>
      <c r="C62" s="80">
        <v>13</v>
      </c>
      <c r="D62" s="82">
        <v>45173</v>
      </c>
      <c r="E62" s="82">
        <v>45257</v>
      </c>
      <c r="F62" s="82" t="s">
        <v>362</v>
      </c>
      <c r="G62" s="81" t="s">
        <v>60</v>
      </c>
      <c r="H62" s="86">
        <v>1</v>
      </c>
      <c r="I62" s="81" t="s">
        <v>72</v>
      </c>
      <c r="J62" s="85">
        <v>45222</v>
      </c>
      <c r="K62" s="86">
        <v>0.8</v>
      </c>
      <c r="L62" s="87">
        <f>IF(YB[[#This Row],[Afrondingsdatum YB]]="N/A","-",YB[[#This Row],[Afrondingsdatum YB]]-YB[[#This Row],[StartDatum]])</f>
        <v>49</v>
      </c>
      <c r="M62" s="117"/>
      <c r="N62" s="117" t="s">
        <v>570</v>
      </c>
      <c r="P62">
        <f t="shared" si="3"/>
        <v>114</v>
      </c>
      <c r="Q62">
        <f t="shared" si="3"/>
        <v>101</v>
      </c>
      <c r="R62">
        <f t="shared" si="3"/>
        <v>110</v>
      </c>
      <c r="S62">
        <f t="shared" si="3"/>
        <v>115</v>
      </c>
      <c r="T62">
        <f t="shared" si="3"/>
        <v>46</v>
      </c>
      <c r="U62">
        <f t="shared" si="3"/>
        <v>103</v>
      </c>
      <c r="V62">
        <f t="shared" si="3"/>
        <v>114</v>
      </c>
      <c r="W62">
        <f t="shared" si="3"/>
        <v>111</v>
      </c>
      <c r="X62" s="5">
        <f t="shared" si="2"/>
        <v>897</v>
      </c>
      <c r="Y62" s="9" t="str">
        <f>MID(F62,2,1)&amp;TEXT(X62,"###")</f>
        <v>C897</v>
      </c>
    </row>
    <row r="63" spans="1:25" x14ac:dyDescent="0.2">
      <c r="A63" s="76" t="s">
        <v>425</v>
      </c>
      <c r="B63" s="76">
        <v>1</v>
      </c>
      <c r="C63" s="76">
        <v>13</v>
      </c>
      <c r="D63" s="77">
        <v>45173</v>
      </c>
      <c r="E63" s="77">
        <v>45257</v>
      </c>
      <c r="F63" s="77" t="s">
        <v>363</v>
      </c>
      <c r="G63" s="35" t="s">
        <v>61</v>
      </c>
      <c r="H63" s="36">
        <v>1</v>
      </c>
      <c r="I63" s="35" t="s">
        <v>86</v>
      </c>
      <c r="J63" s="37">
        <v>45228</v>
      </c>
      <c r="K63" s="36">
        <v>0.75</v>
      </c>
      <c r="L63" s="88">
        <f>IF(YB[[#This Row],[Afrondingsdatum YB]]="N/A","-",YB[[#This Row],[Afrondingsdatum YB]]-YB[[#This Row],[StartDatum]])</f>
        <v>55</v>
      </c>
      <c r="M63" s="118"/>
      <c r="N63" s="118" t="s">
        <v>576</v>
      </c>
      <c r="P63">
        <f t="shared" si="3"/>
        <v>114</v>
      </c>
      <c r="Q63">
        <f t="shared" si="3"/>
        <v>111</v>
      </c>
      <c r="R63">
        <f t="shared" si="3"/>
        <v>119</v>
      </c>
      <c r="S63">
        <f t="shared" si="3"/>
        <v>97</v>
      </c>
      <c r="T63">
        <f t="shared" si="3"/>
        <v>110</v>
      </c>
      <c r="U63">
        <f t="shared" si="3"/>
        <v>46</v>
      </c>
      <c r="V63">
        <f t="shared" si="3"/>
        <v>100</v>
      </c>
      <c r="W63">
        <f t="shared" si="3"/>
        <v>101</v>
      </c>
      <c r="X63" s="5">
        <f t="shared" si="2"/>
        <v>908</v>
      </c>
      <c r="Y63" s="9" t="str">
        <f>MID(F63,2,1)&amp;TEXT(X63,"###")</f>
        <v>C908</v>
      </c>
    </row>
    <row r="64" spans="1:25" x14ac:dyDescent="0.2">
      <c r="A64" s="80" t="s">
        <v>425</v>
      </c>
      <c r="B64" s="80">
        <v>1</v>
      </c>
      <c r="C64" s="80">
        <v>13</v>
      </c>
      <c r="D64" s="82">
        <v>45173</v>
      </c>
      <c r="E64" s="82">
        <v>45257</v>
      </c>
      <c r="F64" s="82" t="s">
        <v>363</v>
      </c>
      <c r="G64" s="81" t="s">
        <v>84</v>
      </c>
      <c r="H64" s="86">
        <v>1</v>
      </c>
      <c r="I64" s="81" t="s">
        <v>176</v>
      </c>
      <c r="J64" s="85">
        <v>45231</v>
      </c>
      <c r="K64" s="86">
        <v>0.83</v>
      </c>
      <c r="L64" s="87">
        <f>IF(YB[[#This Row],[Afrondingsdatum YB]]="N/A","-",YB[[#This Row],[Afrondingsdatum YB]]-YB[[#This Row],[StartDatum]])</f>
        <v>58</v>
      </c>
      <c r="M64" s="117"/>
      <c r="N64" s="117" t="s">
        <v>576</v>
      </c>
      <c r="P64">
        <f t="shared" si="3"/>
        <v>115</v>
      </c>
      <c r="Q64">
        <f t="shared" si="3"/>
        <v>97</v>
      </c>
      <c r="R64">
        <f t="shared" si="3"/>
        <v>110</v>
      </c>
      <c r="S64">
        <f t="shared" si="3"/>
        <v>100</v>
      </c>
      <c r="T64">
        <f t="shared" si="3"/>
        <v>101</v>
      </c>
      <c r="U64">
        <f t="shared" si="3"/>
        <v>114</v>
      </c>
      <c r="V64">
        <f t="shared" si="3"/>
        <v>46</v>
      </c>
      <c r="W64">
        <f t="shared" si="3"/>
        <v>98</v>
      </c>
      <c r="X64" s="5">
        <f t="shared" si="2"/>
        <v>878</v>
      </c>
      <c r="Y64" s="9" t="str">
        <f>MID(F64,2,1)&amp;TEXT(X64,"###")</f>
        <v>C878</v>
      </c>
    </row>
    <row r="65" spans="1:25" x14ac:dyDescent="0.2">
      <c r="A65" s="76" t="s">
        <v>425</v>
      </c>
      <c r="B65" s="76">
        <v>1</v>
      </c>
      <c r="C65" s="76">
        <v>13</v>
      </c>
      <c r="D65" s="77">
        <v>45173</v>
      </c>
      <c r="E65" s="77">
        <v>45257</v>
      </c>
      <c r="F65" s="77" t="s">
        <v>363</v>
      </c>
      <c r="G65" s="35" t="s">
        <v>62</v>
      </c>
      <c r="H65" s="36">
        <v>1</v>
      </c>
      <c r="I65" s="35" t="s">
        <v>162</v>
      </c>
      <c r="J65" s="37">
        <v>45202</v>
      </c>
      <c r="K65" s="36">
        <v>0.75</v>
      </c>
      <c r="L65" s="88">
        <f>IF(YB[[#This Row],[Afrondingsdatum YB]]="N/A","-",YB[[#This Row],[Afrondingsdatum YB]]-YB[[#This Row],[StartDatum]])</f>
        <v>29</v>
      </c>
      <c r="M65" s="118"/>
      <c r="N65" s="118" t="s">
        <v>577</v>
      </c>
      <c r="P65">
        <f t="shared" si="3"/>
        <v>115</v>
      </c>
      <c r="Q65">
        <f t="shared" si="3"/>
        <v>97</v>
      </c>
      <c r="R65">
        <f t="shared" si="3"/>
        <v>114</v>
      </c>
      <c r="S65">
        <f t="shared" si="3"/>
        <v>97</v>
      </c>
      <c r="T65">
        <f t="shared" si="3"/>
        <v>46</v>
      </c>
      <c r="U65">
        <f t="shared" si="3"/>
        <v>100</v>
      </c>
      <c r="V65">
        <f t="shared" si="3"/>
        <v>101</v>
      </c>
      <c r="W65">
        <f t="shared" si="3"/>
        <v>46</v>
      </c>
      <c r="X65" s="5">
        <f t="shared" si="2"/>
        <v>823</v>
      </c>
      <c r="Y65" s="9" t="str">
        <f>MID(F65,2,1)&amp;TEXT(X65,"###")</f>
        <v>C823</v>
      </c>
    </row>
    <row r="66" spans="1:25" x14ac:dyDescent="0.2">
      <c r="A66" s="80" t="s">
        <v>425</v>
      </c>
      <c r="B66" s="80">
        <v>1</v>
      </c>
      <c r="C66" s="80">
        <v>13</v>
      </c>
      <c r="D66" s="82">
        <v>45173</v>
      </c>
      <c r="E66" s="82">
        <v>45257</v>
      </c>
      <c r="F66" s="82" t="s">
        <v>362</v>
      </c>
      <c r="G66" s="81" t="s">
        <v>131</v>
      </c>
      <c r="H66" s="86">
        <v>1</v>
      </c>
      <c r="I66" s="81" t="s">
        <v>249</v>
      </c>
      <c r="J66" s="85">
        <v>45239</v>
      </c>
      <c r="K66" s="86">
        <v>0.9</v>
      </c>
      <c r="L66" s="87">
        <f>IF(YB[[#This Row],[Afrondingsdatum YB]]="N/A","-",YB[[#This Row],[Afrondingsdatum YB]]-YB[[#This Row],[StartDatum]])</f>
        <v>66</v>
      </c>
      <c r="M66" s="117"/>
      <c r="N66" s="117" t="s">
        <v>574</v>
      </c>
      <c r="P66">
        <f t="shared" si="3"/>
        <v>115</v>
      </c>
      <c r="Q66">
        <f t="shared" si="3"/>
        <v>97</v>
      </c>
      <c r="R66">
        <f t="shared" si="3"/>
        <v>114</v>
      </c>
      <c r="S66">
        <f t="shared" si="3"/>
        <v>97</v>
      </c>
      <c r="T66">
        <f t="shared" si="3"/>
        <v>104</v>
      </c>
      <c r="U66">
        <f t="shared" si="3"/>
        <v>46</v>
      </c>
      <c r="V66">
        <f t="shared" si="3"/>
        <v>102</v>
      </c>
      <c r="W66">
        <f t="shared" ref="Q66:W103" si="4">CODE(MID($G66,W$1,1))</f>
        <v>97</v>
      </c>
      <c r="X66" s="5">
        <f t="shared" si="2"/>
        <v>879</v>
      </c>
      <c r="Y66" s="9" t="str">
        <f>MID(F66,2,1)&amp;TEXT(X66,"###")</f>
        <v>C879</v>
      </c>
    </row>
    <row r="67" spans="1:25" x14ac:dyDescent="0.2">
      <c r="A67" s="76" t="s">
        <v>425</v>
      </c>
      <c r="B67" s="76">
        <v>1</v>
      </c>
      <c r="C67" s="76">
        <v>13</v>
      </c>
      <c r="D67" s="77">
        <v>45173</v>
      </c>
      <c r="E67" s="77">
        <v>45257</v>
      </c>
      <c r="F67" s="77" t="s">
        <v>364</v>
      </c>
      <c r="G67" s="35" t="s">
        <v>108</v>
      </c>
      <c r="H67" s="36">
        <v>1</v>
      </c>
      <c r="I67" s="35" t="s">
        <v>267</v>
      </c>
      <c r="J67" s="37">
        <v>45236</v>
      </c>
      <c r="K67" s="36">
        <v>0.88</v>
      </c>
      <c r="L67" s="88">
        <f>IF(YB[[#This Row],[Afrondingsdatum YB]]="N/A","-",YB[[#This Row],[Afrondingsdatum YB]]-YB[[#This Row],[StartDatum]])</f>
        <v>63</v>
      </c>
      <c r="M67" s="118"/>
      <c r="N67" s="118" t="s">
        <v>569</v>
      </c>
      <c r="P67">
        <f t="shared" ref="P67:P117" si="5">CODE(MID($G67,P$1,1))</f>
        <v>115</v>
      </c>
      <c r="Q67">
        <f t="shared" si="4"/>
        <v>97</v>
      </c>
      <c r="R67">
        <f t="shared" si="4"/>
        <v>118</v>
      </c>
      <c r="S67">
        <f t="shared" si="4"/>
        <v>101</v>
      </c>
      <c r="T67">
        <f t="shared" si="4"/>
        <v>114</v>
      </c>
      <c r="U67">
        <f t="shared" si="4"/>
        <v>105</v>
      </c>
      <c r="V67">
        <f t="shared" si="4"/>
        <v>110</v>
      </c>
      <c r="W67">
        <f t="shared" si="4"/>
        <v>105</v>
      </c>
      <c r="X67" s="5">
        <f t="shared" ref="X67:X117" si="6">ROUND((P67*P$1+Q67/Q$1+R67*R$1+S67/S$1)+SUM(T67:W67),0)</f>
        <v>977</v>
      </c>
      <c r="Y67" s="9" t="str">
        <f>MID(F67,2,1)&amp;TEXT(X67,"###")</f>
        <v>C977</v>
      </c>
    </row>
    <row r="68" spans="1:25" x14ac:dyDescent="0.2">
      <c r="A68" s="80" t="s">
        <v>425</v>
      </c>
      <c r="B68" s="80">
        <v>1</v>
      </c>
      <c r="C68" s="80">
        <v>13</v>
      </c>
      <c r="D68" s="82">
        <v>45173</v>
      </c>
      <c r="E68" s="82">
        <v>45257</v>
      </c>
      <c r="F68" s="82" t="s">
        <v>364</v>
      </c>
      <c r="G68" s="81" t="s">
        <v>109</v>
      </c>
      <c r="H68" s="86">
        <v>0.99</v>
      </c>
      <c r="I68" s="81" t="s">
        <v>268</v>
      </c>
      <c r="J68" s="81" t="s">
        <v>7</v>
      </c>
      <c r="K68" s="81" t="s">
        <v>9</v>
      </c>
      <c r="L68" s="87" t="str">
        <f>IF(YB[[#This Row],[Afrondingsdatum YB]]="N/A","-",YB[[#This Row],[Afrondingsdatum YB]]-YB[[#This Row],[StartDatum]])</f>
        <v>-</v>
      </c>
      <c r="M68" s="117"/>
      <c r="N68" s="117" t="s">
        <v>563</v>
      </c>
      <c r="P68">
        <f t="shared" si="5"/>
        <v>115</v>
      </c>
      <c r="Q68">
        <f t="shared" si="4"/>
        <v>101</v>
      </c>
      <c r="R68">
        <f t="shared" si="4"/>
        <v>109</v>
      </c>
      <c r="S68">
        <f t="shared" si="4"/>
        <v>46</v>
      </c>
      <c r="T68">
        <f t="shared" si="4"/>
        <v>118</v>
      </c>
      <c r="U68">
        <f t="shared" si="4"/>
        <v>97</v>
      </c>
      <c r="V68">
        <f t="shared" si="4"/>
        <v>110</v>
      </c>
      <c r="W68">
        <f t="shared" si="4"/>
        <v>46</v>
      </c>
      <c r="X68" s="5">
        <f t="shared" si="6"/>
        <v>875</v>
      </c>
      <c r="Y68" s="9" t="str">
        <f>MID(F68,2,1)&amp;TEXT(X68,"###")</f>
        <v>C875</v>
      </c>
    </row>
    <row r="69" spans="1:25" x14ac:dyDescent="0.2">
      <c r="A69" s="76" t="s">
        <v>425</v>
      </c>
      <c r="B69" s="76">
        <v>1</v>
      </c>
      <c r="C69" s="76">
        <v>13</v>
      </c>
      <c r="D69" s="77">
        <v>45173</v>
      </c>
      <c r="E69" s="77">
        <v>45257</v>
      </c>
      <c r="F69" s="77" t="s">
        <v>362</v>
      </c>
      <c r="G69" s="35" t="s">
        <v>63</v>
      </c>
      <c r="H69" s="36">
        <v>1</v>
      </c>
      <c r="I69" s="35" t="s">
        <v>126</v>
      </c>
      <c r="J69" s="35" t="s">
        <v>7</v>
      </c>
      <c r="K69" s="35" t="s">
        <v>9</v>
      </c>
      <c r="L69" s="88" t="str">
        <f>IF(YB[[#This Row],[Afrondingsdatum YB]]="N/A","-",YB[[#This Row],[Afrondingsdatum YB]]-YB[[#This Row],[StartDatum]])</f>
        <v>-</v>
      </c>
      <c r="M69" s="118"/>
      <c r="N69" s="118" t="s">
        <v>574</v>
      </c>
      <c r="P69">
        <f t="shared" si="5"/>
        <v>83</v>
      </c>
      <c r="Q69">
        <f t="shared" si="4"/>
        <v>121</v>
      </c>
      <c r="R69">
        <f t="shared" si="4"/>
        <v>98</v>
      </c>
      <c r="S69">
        <f t="shared" si="4"/>
        <v>114</v>
      </c>
      <c r="T69">
        <f t="shared" si="4"/>
        <v>101</v>
      </c>
      <c r="U69">
        <f t="shared" si="4"/>
        <v>110</v>
      </c>
      <c r="V69">
        <f t="shared" si="4"/>
        <v>46</v>
      </c>
      <c r="W69">
        <f t="shared" si="4"/>
        <v>104</v>
      </c>
      <c r="X69" s="5">
        <f t="shared" si="6"/>
        <v>827</v>
      </c>
      <c r="Y69" s="9" t="str">
        <f>MID(F69,2,1)&amp;TEXT(X69,"###")</f>
        <v>C827</v>
      </c>
    </row>
    <row r="70" spans="1:25" x14ac:dyDescent="0.2">
      <c r="A70" s="80" t="s">
        <v>425</v>
      </c>
      <c r="B70" s="80">
        <v>1</v>
      </c>
      <c r="C70" s="80">
        <v>13</v>
      </c>
      <c r="D70" s="82">
        <v>45173</v>
      </c>
      <c r="E70" s="82">
        <v>45257</v>
      </c>
      <c r="F70" s="82" t="s">
        <v>363</v>
      </c>
      <c r="G70" s="81" t="s">
        <v>64</v>
      </c>
      <c r="H70" s="86">
        <v>1</v>
      </c>
      <c r="I70" s="81" t="s">
        <v>159</v>
      </c>
      <c r="J70" s="85">
        <v>45226</v>
      </c>
      <c r="K70" s="86">
        <v>0.75</v>
      </c>
      <c r="L70" s="87">
        <f>IF(YB[[#This Row],[Afrondingsdatum YB]]="N/A","-",YB[[#This Row],[Afrondingsdatum YB]]-YB[[#This Row],[StartDatum]])</f>
        <v>53</v>
      </c>
      <c r="M70" s="117"/>
      <c r="N70" s="117" t="s">
        <v>578</v>
      </c>
      <c r="P70">
        <f t="shared" si="5"/>
        <v>116</v>
      </c>
      <c r="Q70">
        <f t="shared" si="4"/>
        <v>101</v>
      </c>
      <c r="R70">
        <f t="shared" si="4"/>
        <v>117</v>
      </c>
      <c r="S70">
        <f t="shared" si="4"/>
        <v>110</v>
      </c>
      <c r="T70">
        <f t="shared" si="4"/>
        <v>46</v>
      </c>
      <c r="U70">
        <f t="shared" si="4"/>
        <v>114</v>
      </c>
      <c r="V70">
        <f t="shared" si="4"/>
        <v>105</v>
      </c>
      <c r="W70">
        <f t="shared" si="4"/>
        <v>110</v>
      </c>
      <c r="X70" s="5">
        <f t="shared" si="6"/>
        <v>920</v>
      </c>
      <c r="Y70" s="9" t="str">
        <f>MID(F70,2,1)&amp;TEXT(X70,"###")</f>
        <v>C920</v>
      </c>
    </row>
    <row r="71" spans="1:25" x14ac:dyDescent="0.2">
      <c r="A71" s="76" t="s">
        <v>425</v>
      </c>
      <c r="B71" s="76">
        <v>1</v>
      </c>
      <c r="C71" s="76">
        <v>13</v>
      </c>
      <c r="D71" s="77">
        <v>45173</v>
      </c>
      <c r="E71" s="77">
        <v>45257</v>
      </c>
      <c r="F71" s="77" t="s">
        <v>362</v>
      </c>
      <c r="G71" s="35" t="s">
        <v>132</v>
      </c>
      <c r="H71" s="36">
        <v>1</v>
      </c>
      <c r="I71" s="35" t="s">
        <v>186</v>
      </c>
      <c r="J71" s="37">
        <v>45246</v>
      </c>
      <c r="K71" s="36">
        <v>0.83</v>
      </c>
      <c r="L71" s="88">
        <f>IF(YB[[#This Row],[Afrondingsdatum YB]]="N/A","-",YB[[#This Row],[Afrondingsdatum YB]]-YB[[#This Row],[StartDatum]])</f>
        <v>73</v>
      </c>
      <c r="M71" s="118"/>
      <c r="N71" s="118" t="s">
        <v>570</v>
      </c>
      <c r="P71">
        <f t="shared" si="5"/>
        <v>116</v>
      </c>
      <c r="Q71">
        <f t="shared" si="4"/>
        <v>104</v>
      </c>
      <c r="R71">
        <f t="shared" si="4"/>
        <v>105</v>
      </c>
      <c r="S71">
        <f t="shared" si="4"/>
        <v>114</v>
      </c>
      <c r="T71">
        <f t="shared" si="4"/>
        <v>115</v>
      </c>
      <c r="U71">
        <f t="shared" si="4"/>
        <v>97</v>
      </c>
      <c r="V71">
        <f t="shared" si="4"/>
        <v>46</v>
      </c>
      <c r="W71">
        <f t="shared" si="4"/>
        <v>108</v>
      </c>
      <c r="X71" s="5">
        <f t="shared" si="6"/>
        <v>878</v>
      </c>
      <c r="Y71" s="9" t="str">
        <f>MID(F71,2,1)&amp;TEXT(X71,"###")</f>
        <v>C878</v>
      </c>
    </row>
    <row r="72" spans="1:25" x14ac:dyDescent="0.2">
      <c r="A72" s="80" t="s">
        <v>425</v>
      </c>
      <c r="B72" s="80">
        <v>1</v>
      </c>
      <c r="C72" s="80">
        <v>13</v>
      </c>
      <c r="D72" s="82">
        <v>45173</v>
      </c>
      <c r="E72" s="82">
        <v>45257</v>
      </c>
      <c r="F72" s="82" t="s">
        <v>364</v>
      </c>
      <c r="G72" s="81" t="s">
        <v>133</v>
      </c>
      <c r="H72" s="86">
        <v>1</v>
      </c>
      <c r="I72" s="81" t="s">
        <v>271</v>
      </c>
      <c r="J72" s="85">
        <v>45238</v>
      </c>
      <c r="K72" s="86">
        <v>0.83</v>
      </c>
      <c r="L72" s="87">
        <f>IF(YB[[#This Row],[Afrondingsdatum YB]]="N/A","-",YB[[#This Row],[Afrondingsdatum YB]]-YB[[#This Row],[StartDatum]])</f>
        <v>65</v>
      </c>
      <c r="M72" s="117"/>
      <c r="N72" s="117" t="s">
        <v>566</v>
      </c>
      <c r="P72">
        <f t="shared" si="5"/>
        <v>116</v>
      </c>
      <c r="Q72">
        <f t="shared" si="4"/>
        <v>121</v>
      </c>
      <c r="R72">
        <f t="shared" si="4"/>
        <v>108</v>
      </c>
      <c r="S72">
        <f t="shared" si="4"/>
        <v>101</v>
      </c>
      <c r="T72">
        <f t="shared" si="4"/>
        <v>114</v>
      </c>
      <c r="U72">
        <f t="shared" si="4"/>
        <v>46</v>
      </c>
      <c r="V72">
        <f t="shared" si="4"/>
        <v>107</v>
      </c>
      <c r="W72">
        <f t="shared" si="4"/>
        <v>111</v>
      </c>
      <c r="X72" s="5">
        <f t="shared" si="6"/>
        <v>904</v>
      </c>
      <c r="Y72" s="9" t="str">
        <f>MID(F72,2,1)&amp;TEXT(X72,"###")</f>
        <v>C904</v>
      </c>
    </row>
    <row r="73" spans="1:25" x14ac:dyDescent="0.2">
      <c r="A73" s="76" t="s">
        <v>425</v>
      </c>
      <c r="B73" s="76">
        <v>1</v>
      </c>
      <c r="C73" s="76">
        <v>13</v>
      </c>
      <c r="D73" s="77">
        <v>45173</v>
      </c>
      <c r="E73" s="77">
        <v>45257</v>
      </c>
      <c r="F73" s="77" t="s">
        <v>364</v>
      </c>
      <c r="G73" s="35" t="s">
        <v>65</v>
      </c>
      <c r="H73" s="36">
        <v>1</v>
      </c>
      <c r="I73" s="35" t="s">
        <v>144</v>
      </c>
      <c r="J73" s="37">
        <v>45231</v>
      </c>
      <c r="K73" s="36">
        <v>0.93</v>
      </c>
      <c r="L73" s="88">
        <f>IF(YB[[#This Row],[Afrondingsdatum YB]]="N/A","-",YB[[#This Row],[Afrondingsdatum YB]]-YB[[#This Row],[StartDatum]])</f>
        <v>58</v>
      </c>
      <c r="M73" s="118"/>
      <c r="N73" s="118" t="s">
        <v>563</v>
      </c>
      <c r="P73">
        <f t="shared" si="5"/>
        <v>119</v>
      </c>
      <c r="Q73">
        <f t="shared" si="4"/>
        <v>101</v>
      </c>
      <c r="R73">
        <f t="shared" si="4"/>
        <v>115</v>
      </c>
      <c r="S73">
        <f t="shared" si="4"/>
        <v>108</v>
      </c>
      <c r="T73">
        <f t="shared" si="4"/>
        <v>101</v>
      </c>
      <c r="U73">
        <f t="shared" si="4"/>
        <v>121</v>
      </c>
      <c r="V73">
        <f t="shared" si="4"/>
        <v>46</v>
      </c>
      <c r="W73">
        <f t="shared" si="4"/>
        <v>99</v>
      </c>
      <c r="X73" s="5">
        <f t="shared" si="6"/>
        <v>909</v>
      </c>
      <c r="Y73" s="9" t="str">
        <f>MID(F73,2,1)&amp;TEXT(X73,"###")</f>
        <v>C909</v>
      </c>
    </row>
    <row r="74" spans="1:25" x14ac:dyDescent="0.2">
      <c r="A74" s="80" t="s">
        <v>425</v>
      </c>
      <c r="B74" s="80">
        <v>1</v>
      </c>
      <c r="C74" s="80">
        <v>13</v>
      </c>
      <c r="D74" s="82">
        <v>45173</v>
      </c>
      <c r="E74" s="82">
        <v>45257</v>
      </c>
      <c r="F74" s="82" t="s">
        <v>364</v>
      </c>
      <c r="G74" s="81" t="s">
        <v>66</v>
      </c>
      <c r="H74" s="86">
        <v>1</v>
      </c>
      <c r="I74" s="81" t="s">
        <v>202</v>
      </c>
      <c r="J74" s="85">
        <v>45249</v>
      </c>
      <c r="K74" s="86">
        <v>0.8</v>
      </c>
      <c r="L74" s="87">
        <f>IF(YB[[#This Row],[Afrondingsdatum YB]]="N/A","-",YB[[#This Row],[Afrondingsdatum YB]]-YB[[#This Row],[StartDatum]])</f>
        <v>76</v>
      </c>
      <c r="M74" s="117"/>
      <c r="N74" s="117" t="s">
        <v>567</v>
      </c>
      <c r="P74">
        <f t="shared" si="5"/>
        <v>121</v>
      </c>
      <c r="Q74">
        <f t="shared" si="4"/>
        <v>97</v>
      </c>
      <c r="R74">
        <f t="shared" si="4"/>
        <v>115</v>
      </c>
      <c r="S74">
        <f t="shared" si="4"/>
        <v>105</v>
      </c>
      <c r="T74">
        <f t="shared" si="4"/>
        <v>110</v>
      </c>
      <c r="U74">
        <f t="shared" si="4"/>
        <v>46</v>
      </c>
      <c r="V74">
        <f t="shared" si="4"/>
        <v>103</v>
      </c>
      <c r="W74">
        <f t="shared" si="4"/>
        <v>111</v>
      </c>
      <c r="X74" s="5">
        <f t="shared" si="6"/>
        <v>911</v>
      </c>
      <c r="Y74" s="9" t="str">
        <f>MID(F74,2,1)&amp;TEXT(X74,"###")</f>
        <v>C911</v>
      </c>
    </row>
    <row r="75" spans="1:25" x14ac:dyDescent="0.2">
      <c r="A75" s="76" t="s">
        <v>425</v>
      </c>
      <c r="B75" s="76">
        <v>1</v>
      </c>
      <c r="C75" s="76">
        <v>13</v>
      </c>
      <c r="D75" s="77">
        <v>45173</v>
      </c>
      <c r="E75" s="77">
        <v>45257</v>
      </c>
      <c r="F75" s="77" t="s">
        <v>364</v>
      </c>
      <c r="G75" s="35" t="s">
        <v>67</v>
      </c>
      <c r="H75" s="36">
        <v>1</v>
      </c>
      <c r="I75" s="35" t="s">
        <v>153</v>
      </c>
      <c r="J75" s="37">
        <v>45217</v>
      </c>
      <c r="K75" s="36">
        <v>0.73</v>
      </c>
      <c r="L75" s="88">
        <f>IF(YB[[#This Row],[Afrondingsdatum YB]]="N/A","-",YB[[#This Row],[Afrondingsdatum YB]]-YB[[#This Row],[StartDatum]])</f>
        <v>44</v>
      </c>
      <c r="M75" s="118"/>
      <c r="N75" s="118" t="s">
        <v>567</v>
      </c>
      <c r="P75">
        <f t="shared" si="5"/>
        <v>121</v>
      </c>
      <c r="Q75">
        <f t="shared" si="4"/>
        <v>97</v>
      </c>
      <c r="R75">
        <f t="shared" si="4"/>
        <v>115</v>
      </c>
      <c r="S75">
        <f t="shared" si="4"/>
        <v>115</v>
      </c>
      <c r="T75">
        <f t="shared" si="4"/>
        <v>105</v>
      </c>
      <c r="U75">
        <f t="shared" si="4"/>
        <v>110</v>
      </c>
      <c r="V75">
        <f t="shared" si="4"/>
        <v>101</v>
      </c>
      <c r="W75">
        <f t="shared" si="4"/>
        <v>46</v>
      </c>
      <c r="X75" s="5">
        <f t="shared" si="6"/>
        <v>905</v>
      </c>
      <c r="Y75" s="9" t="str">
        <f>MID(F75,2,1)&amp;TEXT(X75,"###")</f>
        <v>C905</v>
      </c>
    </row>
    <row r="76" spans="1:25" x14ac:dyDescent="0.2">
      <c r="A76" s="80" t="s">
        <v>425</v>
      </c>
      <c r="B76" s="80">
        <v>1</v>
      </c>
      <c r="C76" s="80">
        <v>13</v>
      </c>
      <c r="D76" s="82">
        <v>45173</v>
      </c>
      <c r="E76" s="82">
        <v>45257</v>
      </c>
      <c r="F76" s="82" t="s">
        <v>363</v>
      </c>
      <c r="G76" s="81" t="s">
        <v>68</v>
      </c>
      <c r="H76" s="86">
        <v>1</v>
      </c>
      <c r="I76" s="81" t="s">
        <v>253</v>
      </c>
      <c r="J76" s="85">
        <v>45229</v>
      </c>
      <c r="K76" s="86">
        <v>0.75</v>
      </c>
      <c r="L76" s="87">
        <f>IF(YB[[#This Row],[Afrondingsdatum YB]]="N/A","-",YB[[#This Row],[Afrondingsdatum YB]]-YB[[#This Row],[StartDatum]])</f>
        <v>56</v>
      </c>
      <c r="M76" s="117"/>
      <c r="N76" s="117" t="s">
        <v>581</v>
      </c>
      <c r="P76">
        <f t="shared" si="5"/>
        <v>121</v>
      </c>
      <c r="Q76">
        <f t="shared" si="4"/>
        <v>111</v>
      </c>
      <c r="R76">
        <f t="shared" si="4"/>
        <v>117</v>
      </c>
      <c r="S76">
        <f t="shared" si="4"/>
        <v>114</v>
      </c>
      <c r="T76">
        <f t="shared" si="4"/>
        <v>105</v>
      </c>
      <c r="U76">
        <f t="shared" si="4"/>
        <v>46</v>
      </c>
      <c r="V76">
        <f t="shared" si="4"/>
        <v>107</v>
      </c>
      <c r="W76">
        <f t="shared" si="4"/>
        <v>101</v>
      </c>
      <c r="X76" s="5">
        <f t="shared" si="6"/>
        <v>915</v>
      </c>
      <c r="Y76" s="9" t="str">
        <f>MID(F76,2,1)&amp;TEXT(X76,"###")</f>
        <v>C915</v>
      </c>
    </row>
    <row r="77" spans="1:25" x14ac:dyDescent="0.2">
      <c r="A77" s="76" t="s">
        <v>425</v>
      </c>
      <c r="B77" s="76">
        <v>3</v>
      </c>
      <c r="C77" s="35">
        <v>13</v>
      </c>
      <c r="D77" s="77">
        <v>45327</v>
      </c>
      <c r="E77" s="77">
        <v>45425</v>
      </c>
      <c r="F77" s="77" t="s">
        <v>280</v>
      </c>
      <c r="G77" s="35" t="s">
        <v>281</v>
      </c>
      <c r="H77" s="78">
        <v>1</v>
      </c>
      <c r="I77" s="79" t="s">
        <v>331</v>
      </c>
      <c r="J77" s="37">
        <v>45373</v>
      </c>
      <c r="K77" s="36">
        <v>0.8</v>
      </c>
      <c r="L77" s="88">
        <f>IF(YB[[#This Row],[Afrondingsdatum YB]]="N/A","-",YB[[#This Row],[Afrondingsdatum YB]]-YB[[#This Row],[StartDatum]])</f>
        <v>46</v>
      </c>
      <c r="M77" s="118"/>
      <c r="N77" s="118" t="s">
        <v>552</v>
      </c>
      <c r="P77">
        <f t="shared" si="5"/>
        <v>97</v>
      </c>
      <c r="Q77">
        <f t="shared" si="4"/>
        <v>98</v>
      </c>
      <c r="R77">
        <f t="shared" si="4"/>
        <v>100</v>
      </c>
      <c r="S77">
        <f t="shared" si="4"/>
        <v>101</v>
      </c>
      <c r="T77">
        <f t="shared" si="4"/>
        <v>108</v>
      </c>
      <c r="U77">
        <f t="shared" si="4"/>
        <v>105</v>
      </c>
      <c r="V77">
        <f t="shared" si="4"/>
        <v>108</v>
      </c>
      <c r="W77">
        <f t="shared" si="4"/>
        <v>97</v>
      </c>
      <c r="X77" s="5">
        <f t="shared" si="6"/>
        <v>889</v>
      </c>
      <c r="Y77" s="9" t="str">
        <f>MID(F77,2,1)&amp;TEXT(X77,"###")</f>
        <v>C889</v>
      </c>
    </row>
    <row r="78" spans="1:25" x14ac:dyDescent="0.2">
      <c r="A78" s="80" t="s">
        <v>425</v>
      </c>
      <c r="B78" s="80">
        <v>3</v>
      </c>
      <c r="C78" s="81">
        <v>13</v>
      </c>
      <c r="D78" s="82">
        <v>45327</v>
      </c>
      <c r="E78" s="82">
        <v>45425</v>
      </c>
      <c r="F78" s="82" t="s">
        <v>280</v>
      </c>
      <c r="G78" s="81" t="s">
        <v>282</v>
      </c>
      <c r="H78" s="83">
        <v>0.02</v>
      </c>
      <c r="I78" s="84" t="s">
        <v>325</v>
      </c>
      <c r="J78" s="81" t="s">
        <v>7</v>
      </c>
      <c r="K78" s="81" t="s">
        <v>9</v>
      </c>
      <c r="L78" s="87" t="str">
        <f>IF(YB[[#This Row],[Afrondingsdatum YB]]="N/A","-",YB[[#This Row],[Afrondingsdatum YB]]-YB[[#This Row],[StartDatum]])</f>
        <v>-</v>
      </c>
      <c r="M78" s="117"/>
      <c r="N78" s="117" t="s">
        <v>551</v>
      </c>
      <c r="P78">
        <f t="shared" si="5"/>
        <v>97</v>
      </c>
      <c r="Q78">
        <f t="shared" si="4"/>
        <v>104</v>
      </c>
      <c r="R78">
        <f t="shared" si="4"/>
        <v>109</v>
      </c>
      <c r="S78">
        <f t="shared" si="4"/>
        <v>97</v>
      </c>
      <c r="T78">
        <f t="shared" si="4"/>
        <v>100</v>
      </c>
      <c r="U78">
        <f t="shared" si="4"/>
        <v>46</v>
      </c>
      <c r="V78">
        <f t="shared" si="4"/>
        <v>122</v>
      </c>
      <c r="W78">
        <f t="shared" si="4"/>
        <v>97</v>
      </c>
      <c r="X78" s="5">
        <f t="shared" si="6"/>
        <v>865</v>
      </c>
      <c r="Y78" s="9" t="str">
        <f>MID(F78,2,1)&amp;TEXT(X78,"###")</f>
        <v>C865</v>
      </c>
    </row>
    <row r="79" spans="1:25" x14ac:dyDescent="0.2">
      <c r="A79" s="76" t="s">
        <v>425</v>
      </c>
      <c r="B79" s="76">
        <v>3</v>
      </c>
      <c r="C79" s="35">
        <v>13</v>
      </c>
      <c r="D79" s="77">
        <v>45327</v>
      </c>
      <c r="E79" s="77">
        <v>45425</v>
      </c>
      <c r="F79" s="77" t="s">
        <v>283</v>
      </c>
      <c r="G79" s="35" t="s">
        <v>284</v>
      </c>
      <c r="H79" s="78">
        <v>1</v>
      </c>
      <c r="I79" s="79" t="s">
        <v>208</v>
      </c>
      <c r="J79" s="37">
        <v>45354</v>
      </c>
      <c r="K79" s="36">
        <v>0.8</v>
      </c>
      <c r="L79" s="88">
        <f>IF(YB[[#This Row],[Afrondingsdatum YB]]="N/A","-",YB[[#This Row],[Afrondingsdatum YB]]-YB[[#This Row],[StartDatum]])</f>
        <v>27</v>
      </c>
      <c r="M79" s="118"/>
      <c r="N79" s="118" t="s">
        <v>557</v>
      </c>
      <c r="P79">
        <f t="shared" si="5"/>
        <v>65</v>
      </c>
      <c r="Q79">
        <f t="shared" si="4"/>
        <v>104</v>
      </c>
      <c r="R79">
        <f t="shared" si="4"/>
        <v>109</v>
      </c>
      <c r="S79">
        <f t="shared" si="4"/>
        <v>101</v>
      </c>
      <c r="T79">
        <f t="shared" si="4"/>
        <v>116</v>
      </c>
      <c r="U79">
        <f t="shared" si="4"/>
        <v>46</v>
      </c>
      <c r="V79">
        <f t="shared" si="4"/>
        <v>115</v>
      </c>
      <c r="W79">
        <f t="shared" si="4"/>
        <v>101</v>
      </c>
      <c r="X79" s="5">
        <f t="shared" si="6"/>
        <v>847</v>
      </c>
      <c r="Y79" s="9" t="str">
        <f>MID(F79,2,1)&amp;TEXT(X79,"###")</f>
        <v>C847</v>
      </c>
    </row>
    <row r="80" spans="1:25" x14ac:dyDescent="0.2">
      <c r="A80" s="80" t="s">
        <v>425</v>
      </c>
      <c r="B80" s="80">
        <v>3</v>
      </c>
      <c r="C80" s="81">
        <v>13</v>
      </c>
      <c r="D80" s="82">
        <v>45327</v>
      </c>
      <c r="E80" s="82">
        <v>45425</v>
      </c>
      <c r="F80" s="82" t="s">
        <v>283</v>
      </c>
      <c r="G80" s="81" t="s">
        <v>285</v>
      </c>
      <c r="H80" s="83">
        <v>1</v>
      </c>
      <c r="I80" s="84" t="s">
        <v>139</v>
      </c>
      <c r="J80" s="85">
        <v>45380</v>
      </c>
      <c r="K80" s="86">
        <v>0.78</v>
      </c>
      <c r="L80" s="87">
        <f>IF(YB[[#This Row],[Afrondingsdatum YB]]="N/A","-",YB[[#This Row],[Afrondingsdatum YB]]-YB[[#This Row],[StartDatum]])</f>
        <v>53</v>
      </c>
      <c r="M80" s="117"/>
      <c r="N80" s="117" t="s">
        <v>561</v>
      </c>
      <c r="P80">
        <f t="shared" si="5"/>
        <v>97</v>
      </c>
      <c r="Q80">
        <f t="shared" si="4"/>
        <v>110</v>
      </c>
      <c r="R80">
        <f t="shared" si="4"/>
        <v>97</v>
      </c>
      <c r="S80">
        <f t="shared" si="4"/>
        <v>115</v>
      </c>
      <c r="T80">
        <f t="shared" si="4"/>
        <v>116</v>
      </c>
      <c r="U80">
        <f t="shared" si="4"/>
        <v>97</v>
      </c>
      <c r="V80">
        <f t="shared" si="4"/>
        <v>115</v>
      </c>
      <c r="W80">
        <f t="shared" si="4"/>
        <v>105</v>
      </c>
      <c r="X80" s="5">
        <f t="shared" si="6"/>
        <v>905</v>
      </c>
      <c r="Y80" s="9" t="str">
        <f>MID(F80,2,1)&amp;TEXT(X80,"###")</f>
        <v>C905</v>
      </c>
    </row>
    <row r="81" spans="1:25" x14ac:dyDescent="0.2">
      <c r="A81" s="76" t="s">
        <v>425</v>
      </c>
      <c r="B81" s="76">
        <v>3</v>
      </c>
      <c r="C81" s="35">
        <v>13</v>
      </c>
      <c r="D81" s="77">
        <v>45327</v>
      </c>
      <c r="E81" s="77">
        <v>45425</v>
      </c>
      <c r="F81" s="77" t="s">
        <v>283</v>
      </c>
      <c r="G81" s="35" t="s">
        <v>333</v>
      </c>
      <c r="H81" s="78">
        <v>1</v>
      </c>
      <c r="I81" s="79" t="s">
        <v>342</v>
      </c>
      <c r="J81" s="37">
        <v>45382</v>
      </c>
      <c r="K81" s="36">
        <v>0.85</v>
      </c>
      <c r="L81" s="88">
        <f>IF(YB[[#This Row],[Afrondingsdatum YB]]="N/A","-",YB[[#This Row],[Afrondingsdatum YB]]-YB[[#This Row],[StartDatum]])</f>
        <v>55</v>
      </c>
      <c r="M81" s="118"/>
      <c r="N81" s="118" t="s">
        <v>558</v>
      </c>
      <c r="P81">
        <f t="shared" si="5"/>
        <v>97</v>
      </c>
      <c r="Q81">
        <f t="shared" si="4"/>
        <v>115</v>
      </c>
      <c r="R81">
        <f t="shared" si="4"/>
        <v>104</v>
      </c>
      <c r="S81">
        <f t="shared" si="4"/>
        <v>114</v>
      </c>
      <c r="T81">
        <f t="shared" si="4"/>
        <v>97</v>
      </c>
      <c r="U81">
        <f t="shared" si="4"/>
        <v>102</v>
      </c>
      <c r="V81">
        <f t="shared" si="4"/>
        <v>46</v>
      </c>
      <c r="W81">
        <f t="shared" si="4"/>
        <v>104</v>
      </c>
      <c r="X81" s="5">
        <f t="shared" si="6"/>
        <v>844</v>
      </c>
      <c r="Y81" s="9" t="str">
        <f>MID(F81,2,1)&amp;TEXT(X81,"###")</f>
        <v>C844</v>
      </c>
    </row>
    <row r="82" spans="1:25" x14ac:dyDescent="0.2">
      <c r="A82" s="80" t="s">
        <v>425</v>
      </c>
      <c r="B82" s="80">
        <v>3</v>
      </c>
      <c r="C82" s="81">
        <v>13</v>
      </c>
      <c r="D82" s="82">
        <v>45327</v>
      </c>
      <c r="E82" s="82">
        <v>45425</v>
      </c>
      <c r="F82" s="82" t="s">
        <v>283</v>
      </c>
      <c r="G82" s="81" t="s">
        <v>286</v>
      </c>
      <c r="H82" s="83">
        <v>1</v>
      </c>
      <c r="I82" s="84" t="s">
        <v>238</v>
      </c>
      <c r="J82" s="85">
        <v>45352</v>
      </c>
      <c r="K82" s="86">
        <v>0.85</v>
      </c>
      <c r="L82" s="87">
        <f>IF(YB[[#This Row],[Afrondingsdatum YB]]="N/A","-",YB[[#This Row],[Afrondingsdatum YB]]-YB[[#This Row],[StartDatum]])</f>
        <v>25</v>
      </c>
      <c r="M82" s="117"/>
      <c r="N82" s="117" t="s">
        <v>557</v>
      </c>
      <c r="P82">
        <f t="shared" si="5"/>
        <v>66</v>
      </c>
      <c r="Q82">
        <f t="shared" si="4"/>
        <v>97</v>
      </c>
      <c r="R82">
        <f t="shared" si="4"/>
        <v>115</v>
      </c>
      <c r="S82">
        <f t="shared" si="4"/>
        <v>46</v>
      </c>
      <c r="T82">
        <f t="shared" si="4"/>
        <v>107</v>
      </c>
      <c r="U82">
        <f t="shared" si="4"/>
        <v>105</v>
      </c>
      <c r="V82">
        <f t="shared" si="4"/>
        <v>109</v>
      </c>
      <c r="W82">
        <f t="shared" si="4"/>
        <v>109</v>
      </c>
      <c r="X82" s="5">
        <f t="shared" si="6"/>
        <v>901</v>
      </c>
      <c r="Y82" s="9" t="str">
        <f>MID(F82,2,1)&amp;TEXT(X82,"###")</f>
        <v>C901</v>
      </c>
    </row>
    <row r="83" spans="1:25" x14ac:dyDescent="0.2">
      <c r="A83" s="76" t="s">
        <v>425</v>
      </c>
      <c r="B83" s="76">
        <v>3</v>
      </c>
      <c r="C83" s="35">
        <v>13</v>
      </c>
      <c r="D83" s="77">
        <v>45327</v>
      </c>
      <c r="E83" s="77">
        <v>45425</v>
      </c>
      <c r="F83" s="77" t="s">
        <v>283</v>
      </c>
      <c r="G83" s="35" t="s">
        <v>353</v>
      </c>
      <c r="H83" s="78">
        <v>1</v>
      </c>
      <c r="I83" s="79" t="s">
        <v>356</v>
      </c>
      <c r="J83" s="37">
        <v>45397</v>
      </c>
      <c r="K83" s="36">
        <v>0.83</v>
      </c>
      <c r="L83" s="88">
        <f>IF(YB[[#This Row],[Afrondingsdatum YB]]="N/A","-",YB[[#This Row],[Afrondingsdatum YB]]-YB[[#This Row],[StartDatum]])</f>
        <v>70</v>
      </c>
      <c r="M83" s="118"/>
      <c r="N83" s="118" t="s">
        <v>559</v>
      </c>
      <c r="P83">
        <f t="shared" si="5"/>
        <v>100</v>
      </c>
      <c r="Q83">
        <f t="shared" si="4"/>
        <v>97</v>
      </c>
      <c r="R83">
        <f t="shared" si="4"/>
        <v>109</v>
      </c>
      <c r="S83">
        <f t="shared" si="4"/>
        <v>121</v>
      </c>
      <c r="T83">
        <f t="shared" si="4"/>
        <v>46</v>
      </c>
      <c r="U83">
        <f t="shared" si="4"/>
        <v>107</v>
      </c>
      <c r="V83">
        <f t="shared" si="4"/>
        <v>110</v>
      </c>
      <c r="W83">
        <f t="shared" si="4"/>
        <v>101</v>
      </c>
      <c r="X83" s="5">
        <f t="shared" si="6"/>
        <v>870</v>
      </c>
      <c r="Y83" s="9" t="str">
        <f>MID(F83,2,1)&amp;TEXT(X83,"###")</f>
        <v>C870</v>
      </c>
    </row>
    <row r="84" spans="1:25" x14ac:dyDescent="0.2">
      <c r="A84" s="80" t="s">
        <v>425</v>
      </c>
      <c r="B84" s="80">
        <v>3</v>
      </c>
      <c r="C84" s="81">
        <v>13</v>
      </c>
      <c r="D84" s="82">
        <v>45327</v>
      </c>
      <c r="E84" s="82">
        <v>45425</v>
      </c>
      <c r="F84" s="82" t="s">
        <v>280</v>
      </c>
      <c r="G84" s="81" t="s">
        <v>287</v>
      </c>
      <c r="H84" s="83">
        <v>1</v>
      </c>
      <c r="I84" s="84" t="s">
        <v>335</v>
      </c>
      <c r="J84" s="85">
        <v>45383</v>
      </c>
      <c r="K84" s="86">
        <v>0.9</v>
      </c>
      <c r="L84" s="87">
        <f>IF(YB[[#This Row],[Afrondingsdatum YB]]="N/A","-",YB[[#This Row],[Afrondingsdatum YB]]-YB[[#This Row],[StartDatum]])</f>
        <v>56</v>
      </c>
      <c r="M84" s="117"/>
      <c r="N84" s="117" t="s">
        <v>553</v>
      </c>
      <c r="P84">
        <f t="shared" si="5"/>
        <v>100</v>
      </c>
      <c r="Q84">
        <f t="shared" si="4"/>
        <v>106</v>
      </c>
      <c r="R84">
        <f t="shared" si="4"/>
        <v>97</v>
      </c>
      <c r="S84">
        <f t="shared" si="4"/>
        <v>98</v>
      </c>
      <c r="T84">
        <f t="shared" si="4"/>
        <v>105</v>
      </c>
      <c r="U84">
        <f t="shared" si="4"/>
        <v>114</v>
      </c>
      <c r="V84">
        <f t="shared" si="4"/>
        <v>46</v>
      </c>
      <c r="W84">
        <f t="shared" si="4"/>
        <v>104</v>
      </c>
      <c r="X84" s="5">
        <f t="shared" si="6"/>
        <v>838</v>
      </c>
      <c r="Y84" s="9" t="str">
        <f>MID(F84,2,1)&amp;TEXT(X84,"###")</f>
        <v>C838</v>
      </c>
    </row>
    <row r="85" spans="1:25" x14ac:dyDescent="0.2">
      <c r="A85" s="76" t="s">
        <v>425</v>
      </c>
      <c r="B85" s="76">
        <v>3</v>
      </c>
      <c r="C85" s="35">
        <v>13</v>
      </c>
      <c r="D85" s="77">
        <v>45327</v>
      </c>
      <c r="E85" s="77">
        <v>45425</v>
      </c>
      <c r="F85" s="77" t="s">
        <v>283</v>
      </c>
      <c r="G85" s="35" t="s">
        <v>343</v>
      </c>
      <c r="H85" s="78">
        <v>1</v>
      </c>
      <c r="I85" s="79" t="s">
        <v>350</v>
      </c>
      <c r="J85" s="37">
        <v>45390</v>
      </c>
      <c r="K85" s="36">
        <v>0.8</v>
      </c>
      <c r="L85" s="88">
        <f>IF(YB[[#This Row],[Afrondingsdatum YB]]="N/A","-",YB[[#This Row],[Afrondingsdatum YB]]-YB[[#This Row],[StartDatum]])</f>
        <v>63</v>
      </c>
      <c r="M85" s="118"/>
      <c r="N85" s="118" t="s">
        <v>560</v>
      </c>
      <c r="P85">
        <f t="shared" si="5"/>
        <v>70</v>
      </c>
      <c r="Q85">
        <f t="shared" si="4"/>
        <v>97</v>
      </c>
      <c r="R85">
        <f t="shared" si="4"/>
        <v>116</v>
      </c>
      <c r="S85">
        <f t="shared" si="4"/>
        <v>105</v>
      </c>
      <c r="T85">
        <f t="shared" si="4"/>
        <v>109</v>
      </c>
      <c r="U85">
        <f t="shared" si="4"/>
        <v>97</v>
      </c>
      <c r="V85">
        <f t="shared" si="4"/>
        <v>45</v>
      </c>
      <c r="W85">
        <f t="shared" si="4"/>
        <v>101</v>
      </c>
      <c r="X85" s="5">
        <f t="shared" si="6"/>
        <v>845</v>
      </c>
      <c r="Y85" s="9" t="str">
        <f>MID(F85,2,1)&amp;TEXT(X85,"###")</f>
        <v>C845</v>
      </c>
    </row>
    <row r="86" spans="1:25" x14ac:dyDescent="0.2">
      <c r="A86" s="80" t="s">
        <v>425</v>
      </c>
      <c r="B86" s="80">
        <v>3</v>
      </c>
      <c r="C86" s="81">
        <v>13</v>
      </c>
      <c r="D86" s="82">
        <v>45327</v>
      </c>
      <c r="E86" s="82">
        <v>45425</v>
      </c>
      <c r="F86" s="82" t="s">
        <v>280</v>
      </c>
      <c r="G86" s="81" t="s">
        <v>288</v>
      </c>
      <c r="H86" s="83">
        <v>1</v>
      </c>
      <c r="I86" s="84" t="s">
        <v>330</v>
      </c>
      <c r="J86" s="85">
        <v>45373</v>
      </c>
      <c r="K86" s="86">
        <v>0.8</v>
      </c>
      <c r="L86" s="87">
        <f>IF(YB[[#This Row],[Afrondingsdatum YB]]="N/A","-",YB[[#This Row],[Afrondingsdatum YB]]-YB[[#This Row],[StartDatum]])</f>
        <v>46</v>
      </c>
      <c r="M86" s="117"/>
      <c r="N86" s="117" t="s">
        <v>553</v>
      </c>
      <c r="P86">
        <f t="shared" si="5"/>
        <v>103</v>
      </c>
      <c r="Q86">
        <f t="shared" si="4"/>
        <v>108</v>
      </c>
      <c r="R86">
        <f t="shared" si="4"/>
        <v>101</v>
      </c>
      <c r="S86">
        <f t="shared" si="4"/>
        <v>110</v>
      </c>
      <c r="T86">
        <f t="shared" si="4"/>
        <v>110</v>
      </c>
      <c r="U86">
        <f t="shared" si="4"/>
        <v>46</v>
      </c>
      <c r="V86">
        <f t="shared" si="4"/>
        <v>104</v>
      </c>
      <c r="W86">
        <f t="shared" si="4"/>
        <v>101</v>
      </c>
      <c r="X86" s="5">
        <f t="shared" si="6"/>
        <v>849</v>
      </c>
      <c r="Y86" s="9" t="str">
        <f>MID(F86,2,1)&amp;TEXT(X86,"###")</f>
        <v>C849</v>
      </c>
    </row>
    <row r="87" spans="1:25" x14ac:dyDescent="0.2">
      <c r="A87" s="76" t="s">
        <v>425</v>
      </c>
      <c r="B87" s="76">
        <v>3</v>
      </c>
      <c r="C87" s="35">
        <v>13</v>
      </c>
      <c r="D87" s="77">
        <v>45327</v>
      </c>
      <c r="E87" s="77">
        <v>45425</v>
      </c>
      <c r="F87" s="77" t="s">
        <v>283</v>
      </c>
      <c r="G87" s="35" t="s">
        <v>289</v>
      </c>
      <c r="H87" s="78">
        <v>1</v>
      </c>
      <c r="I87" s="79" t="s">
        <v>342</v>
      </c>
      <c r="J87" s="37">
        <v>45389</v>
      </c>
      <c r="K87" s="36">
        <v>0.83</v>
      </c>
      <c r="L87" s="88">
        <f>IF(YB[[#This Row],[Afrondingsdatum YB]]="N/A","-",YB[[#This Row],[Afrondingsdatum YB]]-YB[[#This Row],[StartDatum]])</f>
        <v>62</v>
      </c>
      <c r="M87" s="118"/>
      <c r="N87" s="118" t="s">
        <v>558</v>
      </c>
      <c r="P87">
        <f t="shared" si="5"/>
        <v>103</v>
      </c>
      <c r="Q87">
        <f t="shared" si="4"/>
        <v>114</v>
      </c>
      <c r="R87">
        <f t="shared" si="4"/>
        <v>97</v>
      </c>
      <c r="S87">
        <f t="shared" si="4"/>
        <v>99</v>
      </c>
      <c r="T87">
        <f t="shared" si="4"/>
        <v>101</v>
      </c>
      <c r="U87">
        <f t="shared" si="4"/>
        <v>46</v>
      </c>
      <c r="V87">
        <f t="shared" si="4"/>
        <v>115</v>
      </c>
      <c r="W87">
        <f t="shared" si="4"/>
        <v>101</v>
      </c>
      <c r="X87" s="5">
        <f t="shared" si="6"/>
        <v>839</v>
      </c>
      <c r="Y87" s="9" t="str">
        <f>MID(F87,2,1)&amp;TEXT(X87,"###")</f>
        <v>C839</v>
      </c>
    </row>
    <row r="88" spans="1:25" x14ac:dyDescent="0.2">
      <c r="A88" s="80" t="s">
        <v>425</v>
      </c>
      <c r="B88" s="80">
        <v>3</v>
      </c>
      <c r="C88" s="81">
        <v>13</v>
      </c>
      <c r="D88" s="82">
        <v>45327</v>
      </c>
      <c r="E88" s="82">
        <v>45425</v>
      </c>
      <c r="F88" s="82" t="s">
        <v>283</v>
      </c>
      <c r="G88" s="81" t="s">
        <v>290</v>
      </c>
      <c r="H88" s="83">
        <v>1</v>
      </c>
      <c r="I88" s="84" t="s">
        <v>214</v>
      </c>
      <c r="J88" s="85">
        <v>45358</v>
      </c>
      <c r="K88" s="86">
        <v>0.78</v>
      </c>
      <c r="L88" s="87">
        <f>IF(YB[[#This Row],[Afrondingsdatum YB]]="N/A","-",YB[[#This Row],[Afrondingsdatum YB]]-YB[[#This Row],[StartDatum]])</f>
        <v>31</v>
      </c>
      <c r="M88" s="117"/>
      <c r="N88" s="117" t="s">
        <v>556</v>
      </c>
      <c r="P88">
        <f t="shared" si="5"/>
        <v>105</v>
      </c>
      <c r="Q88">
        <f t="shared" si="4"/>
        <v>108</v>
      </c>
      <c r="R88">
        <f t="shared" si="4"/>
        <v>105</v>
      </c>
      <c r="S88">
        <f t="shared" si="4"/>
        <v>97</v>
      </c>
      <c r="T88">
        <f t="shared" si="4"/>
        <v>115</v>
      </c>
      <c r="U88">
        <f t="shared" si="4"/>
        <v>46</v>
      </c>
      <c r="V88">
        <f t="shared" si="4"/>
        <v>101</v>
      </c>
      <c r="W88">
        <f t="shared" si="4"/>
        <v>108</v>
      </c>
      <c r="X88" s="5">
        <f t="shared" si="6"/>
        <v>868</v>
      </c>
      <c r="Y88" s="9" t="str">
        <f>MID(F88,2,1)&amp;TEXT(X88,"###")</f>
        <v>C868</v>
      </c>
    </row>
    <row r="89" spans="1:25" x14ac:dyDescent="0.2">
      <c r="A89" s="76" t="s">
        <v>425</v>
      </c>
      <c r="B89" s="76">
        <v>3</v>
      </c>
      <c r="C89" s="35">
        <v>13</v>
      </c>
      <c r="D89" s="77">
        <v>45327</v>
      </c>
      <c r="E89" s="77">
        <v>45425</v>
      </c>
      <c r="F89" s="77" t="s">
        <v>283</v>
      </c>
      <c r="G89" s="35" t="s">
        <v>291</v>
      </c>
      <c r="H89" s="78">
        <v>1</v>
      </c>
      <c r="I89" s="79" t="s">
        <v>184</v>
      </c>
      <c r="J89" s="37">
        <v>45389</v>
      </c>
      <c r="K89" s="36">
        <v>0.83</v>
      </c>
      <c r="L89" s="88">
        <f>IF(YB[[#This Row],[Afrondingsdatum YB]]="N/A","-",YB[[#This Row],[Afrondingsdatum YB]]-YB[[#This Row],[StartDatum]])</f>
        <v>62</v>
      </c>
      <c r="M89" s="118"/>
      <c r="N89" s="118" t="s">
        <v>559</v>
      </c>
      <c r="P89">
        <f t="shared" si="5"/>
        <v>73</v>
      </c>
      <c r="Q89">
        <f t="shared" si="4"/>
        <v>115</v>
      </c>
      <c r="R89">
        <f t="shared" si="4"/>
        <v>97</v>
      </c>
      <c r="S89">
        <f t="shared" si="4"/>
        <v>98</v>
      </c>
      <c r="T89">
        <f t="shared" si="4"/>
        <v>101</v>
      </c>
      <c r="U89">
        <f t="shared" si="4"/>
        <v>108</v>
      </c>
      <c r="V89">
        <f t="shared" si="4"/>
        <v>46</v>
      </c>
      <c r="W89">
        <f t="shared" si="4"/>
        <v>109</v>
      </c>
      <c r="X89" s="5">
        <f t="shared" si="6"/>
        <v>810</v>
      </c>
      <c r="Y89" s="9" t="str">
        <f>MID(F89,2,1)&amp;TEXT(X89,"###")</f>
        <v>C810</v>
      </c>
    </row>
    <row r="90" spans="1:25" x14ac:dyDescent="0.2">
      <c r="A90" s="80" t="s">
        <v>425</v>
      </c>
      <c r="B90" s="80">
        <v>3</v>
      </c>
      <c r="C90" s="81">
        <v>13</v>
      </c>
      <c r="D90" s="82">
        <v>45327</v>
      </c>
      <c r="E90" s="82">
        <v>45425</v>
      </c>
      <c r="F90" s="82" t="s">
        <v>280</v>
      </c>
      <c r="G90" s="81" t="s">
        <v>292</v>
      </c>
      <c r="H90" s="83">
        <v>0.99</v>
      </c>
      <c r="I90" s="84" t="s">
        <v>359</v>
      </c>
      <c r="J90" s="81" t="s">
        <v>7</v>
      </c>
      <c r="K90" s="81" t="s">
        <v>9</v>
      </c>
      <c r="L90" s="87" t="str">
        <f>IF(YB[[#This Row],[Afrondingsdatum YB]]="N/A","-",YB[[#This Row],[Afrondingsdatum YB]]-YB[[#This Row],[StartDatum]])</f>
        <v>-</v>
      </c>
      <c r="M90" s="117"/>
      <c r="N90" s="117" t="s">
        <v>551</v>
      </c>
      <c r="P90">
        <f t="shared" si="5"/>
        <v>106</v>
      </c>
      <c r="Q90">
        <f t="shared" si="4"/>
        <v>97</v>
      </c>
      <c r="R90">
        <f t="shared" si="4"/>
        <v>105</v>
      </c>
      <c r="S90">
        <f t="shared" si="4"/>
        <v>114</v>
      </c>
      <c r="T90">
        <f t="shared" si="4"/>
        <v>46</v>
      </c>
      <c r="U90">
        <f t="shared" si="4"/>
        <v>104</v>
      </c>
      <c r="V90">
        <f t="shared" si="4"/>
        <v>101</v>
      </c>
      <c r="W90">
        <f t="shared" si="4"/>
        <v>107</v>
      </c>
      <c r="X90" s="5">
        <f t="shared" si="6"/>
        <v>856</v>
      </c>
      <c r="Y90" s="9" t="str">
        <f>MID(F90,2,1)&amp;TEXT(X90,"###")</f>
        <v>C856</v>
      </c>
    </row>
    <row r="91" spans="1:25" x14ac:dyDescent="0.2">
      <c r="A91" s="76" t="s">
        <v>425</v>
      </c>
      <c r="B91" s="76">
        <v>3</v>
      </c>
      <c r="C91" s="35">
        <v>13</v>
      </c>
      <c r="D91" s="77">
        <v>45327</v>
      </c>
      <c r="E91" s="77">
        <v>45425</v>
      </c>
      <c r="F91" s="77" t="s">
        <v>283</v>
      </c>
      <c r="G91" s="35" t="s">
        <v>293</v>
      </c>
      <c r="H91" s="78">
        <v>1</v>
      </c>
      <c r="I91" s="79" t="s">
        <v>314</v>
      </c>
      <c r="J91" s="37">
        <v>45382</v>
      </c>
      <c r="K91" s="36">
        <v>0.85</v>
      </c>
      <c r="L91" s="88">
        <f>IF(YB[[#This Row],[Afrondingsdatum YB]]="N/A","-",YB[[#This Row],[Afrondingsdatum YB]]-YB[[#This Row],[StartDatum]])</f>
        <v>55</v>
      </c>
      <c r="M91" s="118"/>
      <c r="N91" s="118" t="s">
        <v>556</v>
      </c>
      <c r="P91">
        <f t="shared" si="5"/>
        <v>106</v>
      </c>
      <c r="Q91">
        <f t="shared" si="4"/>
        <v>101</v>
      </c>
      <c r="R91">
        <f t="shared" si="4"/>
        <v>115</v>
      </c>
      <c r="S91">
        <f t="shared" si="4"/>
        <v>115</v>
      </c>
      <c r="T91">
        <f t="shared" si="4"/>
        <v>101</v>
      </c>
      <c r="U91">
        <f t="shared" si="4"/>
        <v>46</v>
      </c>
      <c r="V91">
        <f t="shared" si="4"/>
        <v>108</v>
      </c>
      <c r="W91">
        <f t="shared" si="4"/>
        <v>101</v>
      </c>
      <c r="X91" s="5">
        <f t="shared" si="6"/>
        <v>886</v>
      </c>
      <c r="Y91" s="9" t="str">
        <f>MID(F91,2,1)&amp;TEXT(X91,"###")</f>
        <v>C886</v>
      </c>
    </row>
    <row r="92" spans="1:25" x14ac:dyDescent="0.2">
      <c r="A92" s="80" t="s">
        <v>425</v>
      </c>
      <c r="B92" s="80">
        <v>3</v>
      </c>
      <c r="C92" s="81">
        <v>13</v>
      </c>
      <c r="D92" s="82">
        <v>45327</v>
      </c>
      <c r="E92" s="82">
        <v>45425</v>
      </c>
      <c r="F92" s="82" t="s">
        <v>283</v>
      </c>
      <c r="G92" s="81" t="s">
        <v>294</v>
      </c>
      <c r="H92" s="83">
        <v>0.13</v>
      </c>
      <c r="I92" s="84" t="s">
        <v>107</v>
      </c>
      <c r="J92" s="81" t="s">
        <v>7</v>
      </c>
      <c r="K92" s="81" t="s">
        <v>9</v>
      </c>
      <c r="L92" s="87" t="str">
        <f>IF(YB[[#This Row],[Afrondingsdatum YB]]="N/A","-",YB[[#This Row],[Afrondingsdatum YB]]-YB[[#This Row],[StartDatum]])</f>
        <v>-</v>
      </c>
      <c r="M92" s="117"/>
      <c r="N92" s="117" t="s">
        <v>555</v>
      </c>
      <c r="P92">
        <f t="shared" si="5"/>
        <v>106</v>
      </c>
      <c r="Q92">
        <f t="shared" si="4"/>
        <v>111</v>
      </c>
      <c r="R92">
        <f t="shared" si="4"/>
        <v>114</v>
      </c>
      <c r="S92">
        <f t="shared" si="4"/>
        <v>100</v>
      </c>
      <c r="T92">
        <f t="shared" si="4"/>
        <v>46</v>
      </c>
      <c r="U92">
        <f t="shared" si="4"/>
        <v>107</v>
      </c>
      <c r="V92">
        <f t="shared" si="4"/>
        <v>97</v>
      </c>
      <c r="W92">
        <f t="shared" si="4"/>
        <v>114</v>
      </c>
      <c r="X92" s="5">
        <f t="shared" si="6"/>
        <v>893</v>
      </c>
      <c r="Y92" s="9" t="str">
        <f>MID(F92,2,1)&amp;TEXT(X92,"###")</f>
        <v>C893</v>
      </c>
    </row>
    <row r="93" spans="1:25" x14ac:dyDescent="0.2">
      <c r="A93" s="76" t="s">
        <v>425</v>
      </c>
      <c r="B93" s="76">
        <v>3</v>
      </c>
      <c r="C93" s="35">
        <v>13</v>
      </c>
      <c r="D93" s="77">
        <v>45327</v>
      </c>
      <c r="E93" s="77">
        <v>45425</v>
      </c>
      <c r="F93" s="77" t="s">
        <v>280</v>
      </c>
      <c r="G93" s="35" t="s">
        <v>295</v>
      </c>
      <c r="H93" s="78">
        <v>1</v>
      </c>
      <c r="I93" s="79" t="s">
        <v>342</v>
      </c>
      <c r="J93" s="37">
        <v>45378</v>
      </c>
      <c r="K93" s="36">
        <v>0.75</v>
      </c>
      <c r="L93" s="88">
        <f>IF(YB[[#This Row],[Afrondingsdatum YB]]="N/A","-",YB[[#This Row],[Afrondingsdatum YB]]-YB[[#This Row],[StartDatum]])</f>
        <v>51</v>
      </c>
      <c r="M93" s="118"/>
      <c r="N93" s="118" t="s">
        <v>552</v>
      </c>
      <c r="P93">
        <f t="shared" si="5"/>
        <v>106</v>
      </c>
      <c r="Q93">
        <f t="shared" si="4"/>
        <v>111</v>
      </c>
      <c r="R93">
        <f t="shared" si="4"/>
        <v>121</v>
      </c>
      <c r="S93">
        <f t="shared" si="4"/>
        <v>99</v>
      </c>
      <c r="T93">
        <f t="shared" si="4"/>
        <v>101</v>
      </c>
      <c r="U93">
        <f t="shared" si="4"/>
        <v>46</v>
      </c>
      <c r="V93">
        <f t="shared" si="4"/>
        <v>107</v>
      </c>
      <c r="W93">
        <f t="shared" si="4"/>
        <v>111</v>
      </c>
      <c r="X93" s="5">
        <f t="shared" si="6"/>
        <v>914</v>
      </c>
      <c r="Y93" s="9" t="str">
        <f>MID(F93,2,1)&amp;TEXT(X93,"###")</f>
        <v>C914</v>
      </c>
    </row>
    <row r="94" spans="1:25" x14ac:dyDescent="0.2">
      <c r="A94" s="80" t="s">
        <v>425</v>
      </c>
      <c r="B94" s="80">
        <v>3</v>
      </c>
      <c r="C94" s="81">
        <v>13</v>
      </c>
      <c r="D94" s="82">
        <v>45327</v>
      </c>
      <c r="E94" s="82">
        <v>45425</v>
      </c>
      <c r="F94" s="82" t="s">
        <v>283</v>
      </c>
      <c r="G94" s="81" t="s">
        <v>296</v>
      </c>
      <c r="H94" s="83">
        <v>1</v>
      </c>
      <c r="I94" s="84" t="s">
        <v>143</v>
      </c>
      <c r="J94" s="85">
        <v>45391</v>
      </c>
      <c r="K94" s="86">
        <v>0.78</v>
      </c>
      <c r="L94" s="87">
        <f>IF(YB[[#This Row],[Afrondingsdatum YB]]="N/A","-",YB[[#This Row],[Afrondingsdatum YB]]-YB[[#This Row],[StartDatum]])</f>
        <v>64</v>
      </c>
      <c r="M94" s="117"/>
      <c r="N94" s="117" t="s">
        <v>560</v>
      </c>
      <c r="P94">
        <f t="shared" si="5"/>
        <v>106</v>
      </c>
      <c r="Q94">
        <f t="shared" si="4"/>
        <v>117</v>
      </c>
      <c r="R94">
        <f t="shared" si="4"/>
        <v>108</v>
      </c>
      <c r="S94">
        <f t="shared" si="4"/>
        <v>105</v>
      </c>
      <c r="T94">
        <f t="shared" si="4"/>
        <v>97</v>
      </c>
      <c r="U94">
        <f t="shared" si="4"/>
        <v>110</v>
      </c>
      <c r="V94">
        <f t="shared" si="4"/>
        <v>46</v>
      </c>
      <c r="W94">
        <f t="shared" si="4"/>
        <v>109</v>
      </c>
      <c r="X94" s="5">
        <f t="shared" si="6"/>
        <v>877</v>
      </c>
      <c r="Y94" s="9" t="str">
        <f>MID(F94,2,1)&amp;TEXT(X94,"###")</f>
        <v>C877</v>
      </c>
    </row>
    <row r="95" spans="1:25" x14ac:dyDescent="0.2">
      <c r="A95" s="76" t="s">
        <v>425</v>
      </c>
      <c r="B95" s="76">
        <v>3</v>
      </c>
      <c r="C95" s="35">
        <v>13</v>
      </c>
      <c r="D95" s="77">
        <v>45327</v>
      </c>
      <c r="E95" s="77">
        <v>45425</v>
      </c>
      <c r="F95" s="77" t="s">
        <v>283</v>
      </c>
      <c r="G95" s="35" t="s">
        <v>297</v>
      </c>
      <c r="H95" s="78">
        <v>1</v>
      </c>
      <c r="I95" s="79" t="s">
        <v>77</v>
      </c>
      <c r="J95" s="37">
        <v>45396</v>
      </c>
      <c r="K95" s="36">
        <v>0.83</v>
      </c>
      <c r="L95" s="88">
        <f>IF(YB[[#This Row],[Afrondingsdatum YB]]="N/A","-",YB[[#This Row],[Afrondingsdatum YB]]-YB[[#This Row],[StartDatum]])</f>
        <v>69</v>
      </c>
      <c r="M95" s="118"/>
      <c r="N95" s="118" t="s">
        <v>555</v>
      </c>
      <c r="P95">
        <f t="shared" si="5"/>
        <v>106</v>
      </c>
      <c r="Q95">
        <f t="shared" si="4"/>
        <v>117</v>
      </c>
      <c r="R95">
        <f t="shared" si="4"/>
        <v>114</v>
      </c>
      <c r="S95">
        <f t="shared" si="4"/>
        <v>114</v>
      </c>
      <c r="T95">
        <f t="shared" si="4"/>
        <v>101</v>
      </c>
      <c r="U95">
        <f t="shared" si="4"/>
        <v>46</v>
      </c>
      <c r="V95">
        <f t="shared" si="4"/>
        <v>100</v>
      </c>
      <c r="W95">
        <f t="shared" si="4"/>
        <v>101</v>
      </c>
      <c r="X95" s="5">
        <f t="shared" si="6"/>
        <v>883</v>
      </c>
      <c r="Y95" s="9" t="str">
        <f>MID(F95,2,1)&amp;TEXT(X95,"###")</f>
        <v>C883</v>
      </c>
    </row>
    <row r="96" spans="1:25" x14ac:dyDescent="0.2">
      <c r="A96" s="80" t="s">
        <v>425</v>
      </c>
      <c r="B96" s="80">
        <v>3</v>
      </c>
      <c r="C96" s="81">
        <v>13</v>
      </c>
      <c r="D96" s="82">
        <v>45327</v>
      </c>
      <c r="E96" s="82">
        <v>45425</v>
      </c>
      <c r="F96" s="82" t="s">
        <v>280</v>
      </c>
      <c r="G96" s="81" t="s">
        <v>298</v>
      </c>
      <c r="H96" s="83">
        <v>0.02</v>
      </c>
      <c r="I96" s="84" t="s">
        <v>326</v>
      </c>
      <c r="J96" s="81" t="s">
        <v>7</v>
      </c>
      <c r="K96" s="81" t="s">
        <v>9</v>
      </c>
      <c r="L96" s="87" t="str">
        <f>IF(YB[[#This Row],[Afrondingsdatum YB]]="N/A","-",YB[[#This Row],[Afrondingsdatum YB]]-YB[[#This Row],[StartDatum]])</f>
        <v>-</v>
      </c>
      <c r="M96" s="117"/>
      <c r="N96" s="117" t="s">
        <v>554</v>
      </c>
      <c r="P96">
        <f t="shared" si="5"/>
        <v>75</v>
      </c>
      <c r="Q96">
        <f t="shared" si="4"/>
        <v>121</v>
      </c>
      <c r="R96">
        <f t="shared" si="4"/>
        <v>114</v>
      </c>
      <c r="S96">
        <f t="shared" si="4"/>
        <v>111</v>
      </c>
      <c r="T96">
        <f t="shared" si="4"/>
        <v>110</v>
      </c>
      <c r="U96">
        <f t="shared" si="4"/>
        <v>46</v>
      </c>
      <c r="V96">
        <f t="shared" si="4"/>
        <v>108</v>
      </c>
      <c r="W96">
        <f t="shared" si="4"/>
        <v>101</v>
      </c>
      <c r="X96" s="5">
        <f t="shared" si="6"/>
        <v>870</v>
      </c>
      <c r="Y96" s="9" t="str">
        <f>MID(F96,2,1)&amp;TEXT(X96,"###")</f>
        <v>C870</v>
      </c>
    </row>
    <row r="97" spans="1:25" x14ac:dyDescent="0.2">
      <c r="A97" s="76" t="s">
        <v>425</v>
      </c>
      <c r="B97" s="76">
        <v>3</v>
      </c>
      <c r="C97" s="35">
        <v>13</v>
      </c>
      <c r="D97" s="77">
        <v>45327</v>
      </c>
      <c r="E97" s="77">
        <v>45425</v>
      </c>
      <c r="F97" s="77" t="s">
        <v>280</v>
      </c>
      <c r="G97" s="35" t="s">
        <v>300</v>
      </c>
      <c r="H97" s="78">
        <v>0.14000000000000001</v>
      </c>
      <c r="I97" s="79" t="s">
        <v>184</v>
      </c>
      <c r="J97" s="35" t="s">
        <v>7</v>
      </c>
      <c r="K97" s="35" t="s">
        <v>9</v>
      </c>
      <c r="L97" s="88" t="str">
        <f>IF(YB[[#This Row],[Afrondingsdatum YB]]="N/A","-",YB[[#This Row],[Afrondingsdatum YB]]-YB[[#This Row],[StartDatum]])</f>
        <v>-</v>
      </c>
      <c r="M97" s="118"/>
      <c r="N97" s="118" t="s">
        <v>554</v>
      </c>
      <c r="P97">
        <f t="shared" si="5"/>
        <v>108</v>
      </c>
      <c r="Q97">
        <f t="shared" si="4"/>
        <v>117</v>
      </c>
      <c r="R97">
        <f t="shared" si="4"/>
        <v>99</v>
      </c>
      <c r="S97">
        <f t="shared" si="4"/>
        <v>105</v>
      </c>
      <c r="T97">
        <f t="shared" si="4"/>
        <v>97</v>
      </c>
      <c r="U97">
        <f t="shared" si="4"/>
        <v>121</v>
      </c>
      <c r="V97">
        <f t="shared" si="4"/>
        <v>114</v>
      </c>
      <c r="W97">
        <f t="shared" si="4"/>
        <v>111</v>
      </c>
      <c r="X97" s="5">
        <f t="shared" si="6"/>
        <v>933</v>
      </c>
      <c r="Y97" s="9" t="str">
        <f>MID(F97,2,1)&amp;TEXT(X97,"###")</f>
        <v>C933</v>
      </c>
    </row>
    <row r="98" spans="1:25" x14ac:dyDescent="0.2">
      <c r="A98" s="80" t="s">
        <v>425</v>
      </c>
      <c r="B98" s="80">
        <v>3</v>
      </c>
      <c r="C98" s="81">
        <v>13</v>
      </c>
      <c r="D98" s="82">
        <v>45327</v>
      </c>
      <c r="E98" s="82">
        <v>45425</v>
      </c>
      <c r="F98" s="82" t="s">
        <v>283</v>
      </c>
      <c r="G98" s="81" t="s">
        <v>301</v>
      </c>
      <c r="H98" s="83">
        <v>1</v>
      </c>
      <c r="I98" s="84" t="s">
        <v>345</v>
      </c>
      <c r="J98" s="85">
        <v>45380</v>
      </c>
      <c r="K98" s="86">
        <v>0.78</v>
      </c>
      <c r="L98" s="87">
        <f>IF(YB[[#This Row],[Afrondingsdatum YB]]="N/A","-",YB[[#This Row],[Afrondingsdatum YB]]-YB[[#This Row],[StartDatum]])</f>
        <v>53</v>
      </c>
      <c r="M98" s="117"/>
      <c r="N98" s="117" t="s">
        <v>561</v>
      </c>
      <c r="P98">
        <f t="shared" si="5"/>
        <v>108</v>
      </c>
      <c r="Q98">
        <f t="shared" si="4"/>
        <v>121</v>
      </c>
      <c r="R98">
        <f t="shared" si="4"/>
        <v>115</v>
      </c>
      <c r="S98">
        <f t="shared" si="4"/>
        <v>97</v>
      </c>
      <c r="T98">
        <f t="shared" si="4"/>
        <v>110</v>
      </c>
      <c r="U98">
        <f t="shared" si="4"/>
        <v>110</v>
      </c>
      <c r="V98">
        <f t="shared" si="4"/>
        <v>101</v>
      </c>
      <c r="W98">
        <f t="shared" si="4"/>
        <v>46</v>
      </c>
      <c r="X98" s="5">
        <f t="shared" si="6"/>
        <v>905</v>
      </c>
      <c r="Y98" s="9" t="str">
        <f>MID(F98,2,1)&amp;TEXT(X98,"###")</f>
        <v>C905</v>
      </c>
    </row>
    <row r="99" spans="1:25" x14ac:dyDescent="0.2">
      <c r="A99" s="76" t="s">
        <v>425</v>
      </c>
      <c r="B99" s="76">
        <v>3</v>
      </c>
      <c r="C99" s="35">
        <v>13</v>
      </c>
      <c r="D99" s="77">
        <v>45327</v>
      </c>
      <c r="E99" s="77">
        <v>45425</v>
      </c>
      <c r="F99" s="77" t="s">
        <v>283</v>
      </c>
      <c r="G99" s="35" t="s">
        <v>302</v>
      </c>
      <c r="H99" s="78">
        <v>1</v>
      </c>
      <c r="I99" s="79" t="s">
        <v>207</v>
      </c>
      <c r="J99" s="37">
        <v>45348</v>
      </c>
      <c r="K99" s="36">
        <v>0.95</v>
      </c>
      <c r="L99" s="88">
        <f>IF(YB[[#This Row],[Afrondingsdatum YB]]="N/A","-",YB[[#This Row],[Afrondingsdatum YB]]-YB[[#This Row],[StartDatum]])</f>
        <v>21</v>
      </c>
      <c r="M99" s="118"/>
      <c r="N99" s="118" t="s">
        <v>557</v>
      </c>
      <c r="P99">
        <f t="shared" si="5"/>
        <v>109</v>
      </c>
      <c r="Q99">
        <f t="shared" si="4"/>
        <v>101</v>
      </c>
      <c r="R99">
        <f t="shared" si="4"/>
        <v>108</v>
      </c>
      <c r="S99">
        <f t="shared" si="4"/>
        <v>118</v>
      </c>
      <c r="T99">
        <f t="shared" si="4"/>
        <v>105</v>
      </c>
      <c r="U99">
        <f t="shared" si="4"/>
        <v>110</v>
      </c>
      <c r="V99">
        <f t="shared" si="4"/>
        <v>46</v>
      </c>
      <c r="W99">
        <f t="shared" si="4"/>
        <v>98</v>
      </c>
      <c r="X99" s="5">
        <f t="shared" si="6"/>
        <v>872</v>
      </c>
      <c r="Y99" s="9" t="str">
        <f>MID(F99,2,1)&amp;TEXT(X99,"###")</f>
        <v>C872</v>
      </c>
    </row>
    <row r="100" spans="1:25" x14ac:dyDescent="0.2">
      <c r="A100" s="80" t="s">
        <v>425</v>
      </c>
      <c r="B100" s="80">
        <v>3</v>
      </c>
      <c r="C100" s="81">
        <v>13</v>
      </c>
      <c r="D100" s="82">
        <v>45327</v>
      </c>
      <c r="E100" s="82">
        <v>45425</v>
      </c>
      <c r="F100" s="82" t="s">
        <v>280</v>
      </c>
      <c r="G100" s="81" t="s">
        <v>339</v>
      </c>
      <c r="H100" s="83">
        <v>0</v>
      </c>
      <c r="I100" s="84" t="s">
        <v>8</v>
      </c>
      <c r="J100" s="81" t="s">
        <v>7</v>
      </c>
      <c r="K100" s="81" t="s">
        <v>9</v>
      </c>
      <c r="L100" s="87" t="str">
        <f>IF(YB[[#This Row],[Afrondingsdatum YB]]="N/A","-",YB[[#This Row],[Afrondingsdatum YB]]-YB[[#This Row],[StartDatum]])</f>
        <v>-</v>
      </c>
      <c r="M100" s="117"/>
      <c r="N100" s="117" t="s">
        <v>554</v>
      </c>
      <c r="P100">
        <f t="shared" si="5"/>
        <v>109</v>
      </c>
      <c r="Q100">
        <f t="shared" si="4"/>
        <v>111</v>
      </c>
      <c r="R100">
        <f t="shared" si="4"/>
        <v>104</v>
      </c>
      <c r="S100">
        <f t="shared" si="4"/>
        <v>97</v>
      </c>
      <c r="T100">
        <f t="shared" si="4"/>
        <v>109</v>
      </c>
      <c r="U100">
        <f t="shared" si="4"/>
        <v>101</v>
      </c>
      <c r="V100">
        <f t="shared" si="4"/>
        <v>100</v>
      </c>
      <c r="W100">
        <f t="shared" si="4"/>
        <v>46</v>
      </c>
      <c r="X100" s="5">
        <f t="shared" si="6"/>
        <v>857</v>
      </c>
      <c r="Y100" s="9" t="str">
        <f>MID(F100,2,1)&amp;TEXT(X100,"###")</f>
        <v>C857</v>
      </c>
    </row>
    <row r="101" spans="1:25" x14ac:dyDescent="0.2">
      <c r="A101" s="76" t="s">
        <v>425</v>
      </c>
      <c r="B101" s="76">
        <v>3</v>
      </c>
      <c r="C101" s="35">
        <v>13</v>
      </c>
      <c r="D101" s="77">
        <v>45327</v>
      </c>
      <c r="E101" s="77">
        <v>45425</v>
      </c>
      <c r="F101" s="77" t="s">
        <v>283</v>
      </c>
      <c r="G101" s="35" t="s">
        <v>303</v>
      </c>
      <c r="H101" s="78">
        <v>1</v>
      </c>
      <c r="I101" s="79" t="s">
        <v>185</v>
      </c>
      <c r="J101" s="37">
        <v>45383</v>
      </c>
      <c r="K101" s="36">
        <v>0.75</v>
      </c>
      <c r="L101" s="88">
        <f>IF(YB[[#This Row],[Afrondingsdatum YB]]="N/A","-",YB[[#This Row],[Afrondingsdatum YB]]-YB[[#This Row],[StartDatum]])</f>
        <v>56</v>
      </c>
      <c r="M101" s="118"/>
      <c r="N101" s="118" t="s">
        <v>556</v>
      </c>
      <c r="P101">
        <f t="shared" si="5"/>
        <v>109</v>
      </c>
      <c r="Q101">
        <f t="shared" si="4"/>
        <v>111</v>
      </c>
      <c r="R101">
        <f t="shared" si="4"/>
        <v>104</v>
      </c>
      <c r="S101">
        <f t="shared" si="4"/>
        <v>105</v>
      </c>
      <c r="T101">
        <f t="shared" si="4"/>
        <v>116</v>
      </c>
      <c r="U101">
        <f t="shared" si="4"/>
        <v>46</v>
      </c>
      <c r="V101">
        <f t="shared" si="4"/>
        <v>100</v>
      </c>
      <c r="W101">
        <f t="shared" si="4"/>
        <v>97</v>
      </c>
      <c r="X101" s="5">
        <f t="shared" si="6"/>
        <v>862</v>
      </c>
      <c r="Y101" s="9" t="str">
        <f>MID(F101,2,1)&amp;TEXT(X101,"###")</f>
        <v>C862</v>
      </c>
    </row>
    <row r="102" spans="1:25" x14ac:dyDescent="0.2">
      <c r="A102" s="80" t="s">
        <v>425</v>
      </c>
      <c r="B102" s="80">
        <v>3</v>
      </c>
      <c r="C102" s="81">
        <v>13</v>
      </c>
      <c r="D102" s="82">
        <v>45327</v>
      </c>
      <c r="E102" s="82">
        <v>45425</v>
      </c>
      <c r="F102" s="82" t="s">
        <v>280</v>
      </c>
      <c r="G102" s="81" t="s">
        <v>304</v>
      </c>
      <c r="H102" s="83">
        <v>0.22</v>
      </c>
      <c r="I102" s="84" t="s">
        <v>328</v>
      </c>
      <c r="J102" s="81" t="s">
        <v>7</v>
      </c>
      <c r="K102" s="81" t="s">
        <v>9</v>
      </c>
      <c r="L102" s="87" t="str">
        <f>IF(YB[[#This Row],[Afrondingsdatum YB]]="N/A","-",YB[[#This Row],[Afrondingsdatum YB]]-YB[[#This Row],[StartDatum]])</f>
        <v>-</v>
      </c>
      <c r="M102" s="117"/>
      <c r="N102" s="117" t="s">
        <v>551</v>
      </c>
      <c r="P102">
        <f t="shared" si="5"/>
        <v>109</v>
      </c>
      <c r="Q102">
        <f t="shared" si="4"/>
        <v>111</v>
      </c>
      <c r="R102">
        <f t="shared" si="4"/>
        <v>108</v>
      </c>
      <c r="S102">
        <f t="shared" si="4"/>
        <v>105</v>
      </c>
      <c r="T102">
        <f t="shared" si="4"/>
        <v>116</v>
      </c>
      <c r="U102">
        <f t="shared" si="4"/>
        <v>111</v>
      </c>
      <c r="V102">
        <f t="shared" si="4"/>
        <v>46</v>
      </c>
      <c r="W102">
        <f t="shared" si="4"/>
        <v>102</v>
      </c>
      <c r="X102" s="5">
        <f t="shared" si="6"/>
        <v>890</v>
      </c>
      <c r="Y102" s="9" t="str">
        <f>MID(F102,2,1)&amp;TEXT(X102,"###")</f>
        <v>C890</v>
      </c>
    </row>
    <row r="103" spans="1:25" x14ac:dyDescent="0.2">
      <c r="A103" s="76" t="s">
        <v>425</v>
      </c>
      <c r="B103" s="76">
        <v>3</v>
      </c>
      <c r="C103" s="35">
        <v>13</v>
      </c>
      <c r="D103" s="77">
        <v>45327</v>
      </c>
      <c r="E103" s="77">
        <v>45425</v>
      </c>
      <c r="F103" s="77" t="s">
        <v>283</v>
      </c>
      <c r="G103" s="35" t="s">
        <v>305</v>
      </c>
      <c r="H103" s="78">
        <v>1</v>
      </c>
      <c r="I103" s="79" t="s">
        <v>346</v>
      </c>
      <c r="J103" s="37">
        <v>45377</v>
      </c>
      <c r="K103" s="36">
        <v>0.83</v>
      </c>
      <c r="L103" s="88">
        <f>IF(YB[[#This Row],[Afrondingsdatum YB]]="N/A","-",YB[[#This Row],[Afrondingsdatum YB]]-YB[[#This Row],[StartDatum]])</f>
        <v>50</v>
      </c>
      <c r="M103" s="118"/>
      <c r="N103" s="118" t="s">
        <v>556</v>
      </c>
      <c r="P103">
        <f t="shared" si="5"/>
        <v>77</v>
      </c>
      <c r="Q103">
        <f t="shared" si="4"/>
        <v>117</v>
      </c>
      <c r="R103">
        <f t="shared" si="4"/>
        <v>100</v>
      </c>
      <c r="S103">
        <f t="shared" ref="Q103:W117" si="7">CODE(MID($G103,S$1,1))</f>
        <v>97</v>
      </c>
      <c r="T103">
        <f t="shared" si="7"/>
        <v>115</v>
      </c>
      <c r="U103">
        <f t="shared" si="7"/>
        <v>115</v>
      </c>
      <c r="V103">
        <f t="shared" si="7"/>
        <v>105</v>
      </c>
      <c r="W103">
        <f t="shared" si="7"/>
        <v>114</v>
      </c>
      <c r="X103" s="5">
        <f t="shared" si="6"/>
        <v>909</v>
      </c>
      <c r="Y103" s="9" t="str">
        <f>MID(F103,2,1)&amp;TEXT(X103,"###")</f>
        <v>C909</v>
      </c>
    </row>
    <row r="104" spans="1:25" x14ac:dyDescent="0.2">
      <c r="A104" s="80" t="s">
        <v>425</v>
      </c>
      <c r="B104" s="80">
        <v>3</v>
      </c>
      <c r="C104" s="81">
        <v>13</v>
      </c>
      <c r="D104" s="82">
        <v>45327</v>
      </c>
      <c r="E104" s="82">
        <v>45425</v>
      </c>
      <c r="F104" s="82" t="s">
        <v>280</v>
      </c>
      <c r="G104" s="81" t="s">
        <v>306</v>
      </c>
      <c r="H104" s="83">
        <v>1</v>
      </c>
      <c r="I104" s="84" t="s">
        <v>252</v>
      </c>
      <c r="J104" s="85">
        <v>45392</v>
      </c>
      <c r="K104" s="86">
        <v>0.78</v>
      </c>
      <c r="L104" s="87">
        <f>IF(YB[[#This Row],[Afrondingsdatum YB]]="N/A","-",YB[[#This Row],[Afrondingsdatum YB]]-YB[[#This Row],[StartDatum]])</f>
        <v>65</v>
      </c>
      <c r="M104" s="117"/>
      <c r="N104" s="117" t="s">
        <v>552</v>
      </c>
      <c r="P104">
        <f t="shared" si="5"/>
        <v>110</v>
      </c>
      <c r="Q104">
        <f t="shared" si="7"/>
        <v>97</v>
      </c>
      <c r="R104">
        <f t="shared" si="7"/>
        <v>114</v>
      </c>
      <c r="S104">
        <f t="shared" si="7"/>
        <v>101</v>
      </c>
      <c r="T104">
        <f t="shared" si="7"/>
        <v>107</v>
      </c>
      <c r="U104">
        <f t="shared" si="7"/>
        <v>46</v>
      </c>
      <c r="V104">
        <f t="shared" si="7"/>
        <v>109</v>
      </c>
      <c r="W104">
        <f t="shared" si="7"/>
        <v>97</v>
      </c>
      <c r="X104" s="5">
        <f t="shared" si="6"/>
        <v>885</v>
      </c>
      <c r="Y104" s="9" t="str">
        <f>MID(F104,2,1)&amp;TEXT(X104,"###")</f>
        <v>C885</v>
      </c>
    </row>
    <row r="105" spans="1:25" x14ac:dyDescent="0.2">
      <c r="A105" s="76" t="s">
        <v>425</v>
      </c>
      <c r="B105" s="76">
        <v>3</v>
      </c>
      <c r="C105" s="35">
        <v>13</v>
      </c>
      <c r="D105" s="77">
        <v>45327</v>
      </c>
      <c r="E105" s="77">
        <v>45425</v>
      </c>
      <c r="F105" s="77" t="s">
        <v>280</v>
      </c>
      <c r="G105" s="35" t="s">
        <v>347</v>
      </c>
      <c r="H105" s="78">
        <v>0.05</v>
      </c>
      <c r="I105" s="79" t="s">
        <v>96</v>
      </c>
      <c r="J105" s="35" t="s">
        <v>7</v>
      </c>
      <c r="K105" s="35" t="s">
        <v>9</v>
      </c>
      <c r="L105" s="88" t="str">
        <f>IF(YB[[#This Row],[Afrondingsdatum YB]]="N/A","-",YB[[#This Row],[Afrondingsdatum YB]]-YB[[#This Row],[StartDatum]])</f>
        <v>-</v>
      </c>
      <c r="M105" s="118"/>
      <c r="N105" s="118" t="s">
        <v>552</v>
      </c>
      <c r="P105">
        <f t="shared" si="5"/>
        <v>111</v>
      </c>
      <c r="Q105">
        <f t="shared" si="7"/>
        <v>109</v>
      </c>
      <c r="R105">
        <f t="shared" si="7"/>
        <v>97</v>
      </c>
      <c r="S105">
        <f t="shared" si="7"/>
        <v>114</v>
      </c>
      <c r="T105">
        <f t="shared" si="7"/>
        <v>46</v>
      </c>
      <c r="U105">
        <f t="shared" si="7"/>
        <v>97</v>
      </c>
      <c r="V105">
        <f t="shared" si="7"/>
        <v>98</v>
      </c>
      <c r="W105">
        <f t="shared" si="7"/>
        <v>100</v>
      </c>
      <c r="X105" s="5">
        <f t="shared" si="6"/>
        <v>826</v>
      </c>
      <c r="Y105" s="9" t="str">
        <f>MID(F105,2,1)&amp;TEXT(X105,"###")</f>
        <v>C826</v>
      </c>
    </row>
    <row r="106" spans="1:25" x14ac:dyDescent="0.2">
      <c r="A106" s="80" t="s">
        <v>425</v>
      </c>
      <c r="B106" s="80">
        <v>3</v>
      </c>
      <c r="C106" s="81">
        <v>13</v>
      </c>
      <c r="D106" s="82">
        <v>45327</v>
      </c>
      <c r="E106" s="82">
        <v>45425</v>
      </c>
      <c r="F106" s="82" t="s">
        <v>283</v>
      </c>
      <c r="G106" s="81" t="s">
        <v>307</v>
      </c>
      <c r="H106" s="83">
        <v>1</v>
      </c>
      <c r="I106" s="84" t="s">
        <v>243</v>
      </c>
      <c r="J106" s="85">
        <v>45345</v>
      </c>
      <c r="K106" s="86">
        <v>0.98</v>
      </c>
      <c r="L106" s="87">
        <f>IF(YB[[#This Row],[Afrondingsdatum YB]]="N/A","-",YB[[#This Row],[Afrondingsdatum YB]]-YB[[#This Row],[StartDatum]])</f>
        <v>18</v>
      </c>
      <c r="M106" s="117"/>
      <c r="N106" s="117" t="s">
        <v>557</v>
      </c>
      <c r="P106">
        <f t="shared" si="5"/>
        <v>114</v>
      </c>
      <c r="Q106">
        <f t="shared" si="7"/>
        <v>101</v>
      </c>
      <c r="R106">
        <f t="shared" si="7"/>
        <v>109</v>
      </c>
      <c r="S106">
        <f t="shared" si="7"/>
        <v>121</v>
      </c>
      <c r="T106">
        <f t="shared" si="7"/>
        <v>46</v>
      </c>
      <c r="U106">
        <f t="shared" si="7"/>
        <v>97</v>
      </c>
      <c r="V106">
        <f t="shared" si="7"/>
        <v>107</v>
      </c>
      <c r="W106">
        <f t="shared" si="7"/>
        <v>98</v>
      </c>
      <c r="X106" s="5">
        <f t="shared" si="6"/>
        <v>870</v>
      </c>
      <c r="Y106" s="9" t="str">
        <f>MID(F106,2,1)&amp;TEXT(X106,"###")</f>
        <v>C870</v>
      </c>
    </row>
    <row r="107" spans="1:25" x14ac:dyDescent="0.2">
      <c r="A107" s="76" t="s">
        <v>425</v>
      </c>
      <c r="B107" s="76">
        <v>3</v>
      </c>
      <c r="C107" s="35">
        <v>13</v>
      </c>
      <c r="D107" s="77">
        <v>45327</v>
      </c>
      <c r="E107" s="77">
        <v>45425</v>
      </c>
      <c r="F107" s="77" t="s">
        <v>283</v>
      </c>
      <c r="G107" s="35" t="s">
        <v>348</v>
      </c>
      <c r="H107" s="78">
        <v>1</v>
      </c>
      <c r="I107" s="79" t="s">
        <v>205</v>
      </c>
      <c r="J107" s="37">
        <v>45378</v>
      </c>
      <c r="K107" s="36">
        <v>0.73</v>
      </c>
      <c r="L107" s="88">
        <f>IF(YB[[#This Row],[Afrondingsdatum YB]]="N/A","-",YB[[#This Row],[Afrondingsdatum YB]]-YB[[#This Row],[StartDatum]])</f>
        <v>51</v>
      </c>
      <c r="M107" s="118"/>
      <c r="N107" s="118" t="s">
        <v>560</v>
      </c>
      <c r="P107">
        <f t="shared" si="5"/>
        <v>114</v>
      </c>
      <c r="Q107">
        <f t="shared" si="7"/>
        <v>111</v>
      </c>
      <c r="R107">
        <f t="shared" si="7"/>
        <v>109</v>
      </c>
      <c r="S107">
        <f t="shared" si="7"/>
        <v>97</v>
      </c>
      <c r="T107">
        <f t="shared" si="7"/>
        <v>105</v>
      </c>
      <c r="U107">
        <f t="shared" si="7"/>
        <v>115</v>
      </c>
      <c r="V107">
        <f t="shared" si="7"/>
        <v>115</v>
      </c>
      <c r="W107">
        <f t="shared" si="7"/>
        <v>97</v>
      </c>
      <c r="X107" s="5">
        <f t="shared" si="6"/>
        <v>953</v>
      </c>
      <c r="Y107" s="9" t="str">
        <f>MID(F107,2,1)&amp;TEXT(X107,"###")</f>
        <v>C953</v>
      </c>
    </row>
    <row r="108" spans="1:25" x14ac:dyDescent="0.2">
      <c r="A108" s="80" t="s">
        <v>425</v>
      </c>
      <c r="B108" s="80">
        <v>3</v>
      </c>
      <c r="C108" s="81">
        <v>13</v>
      </c>
      <c r="D108" s="82">
        <v>45327</v>
      </c>
      <c r="E108" s="82">
        <v>45425</v>
      </c>
      <c r="F108" s="82" t="s">
        <v>280</v>
      </c>
      <c r="G108" s="81" t="s">
        <v>308</v>
      </c>
      <c r="H108" s="83">
        <v>0.99</v>
      </c>
      <c r="I108" s="84" t="s">
        <v>355</v>
      </c>
      <c r="J108" s="81" t="s">
        <v>7</v>
      </c>
      <c r="K108" s="81" t="s">
        <v>9</v>
      </c>
      <c r="L108" s="87" t="str">
        <f>IF(YB[[#This Row],[Afrondingsdatum YB]]="N/A","-",YB[[#This Row],[Afrondingsdatum YB]]-YB[[#This Row],[StartDatum]])</f>
        <v>-</v>
      </c>
      <c r="M108" s="117"/>
      <c r="N108" s="117" t="s">
        <v>553</v>
      </c>
      <c r="P108">
        <f t="shared" si="5"/>
        <v>114</v>
      </c>
      <c r="Q108">
        <f t="shared" si="7"/>
        <v>111</v>
      </c>
      <c r="R108">
        <f t="shared" si="7"/>
        <v>119</v>
      </c>
      <c r="S108">
        <f t="shared" si="7"/>
        <v>97</v>
      </c>
      <c r="T108">
        <f t="shared" si="7"/>
        <v>110</v>
      </c>
      <c r="U108">
        <f t="shared" si="7"/>
        <v>46</v>
      </c>
      <c r="V108">
        <f t="shared" si="7"/>
        <v>115</v>
      </c>
      <c r="W108">
        <f t="shared" si="7"/>
        <v>97</v>
      </c>
      <c r="X108" s="5">
        <f t="shared" si="6"/>
        <v>919</v>
      </c>
      <c r="Y108" s="9" t="str">
        <f>MID(F108,2,1)&amp;TEXT(X108,"###")</f>
        <v>C919</v>
      </c>
    </row>
    <row r="109" spans="1:25" x14ac:dyDescent="0.2">
      <c r="A109" s="76" t="s">
        <v>425</v>
      </c>
      <c r="B109" s="76">
        <v>3</v>
      </c>
      <c r="C109" s="35">
        <v>13</v>
      </c>
      <c r="D109" s="77">
        <v>45327</v>
      </c>
      <c r="E109" s="77">
        <v>45425</v>
      </c>
      <c r="F109" s="77" t="s">
        <v>283</v>
      </c>
      <c r="G109" s="35" t="s">
        <v>309</v>
      </c>
      <c r="H109" s="78">
        <v>1</v>
      </c>
      <c r="I109" s="79" t="s">
        <v>351</v>
      </c>
      <c r="J109" s="37">
        <v>45384</v>
      </c>
      <c r="K109" s="36">
        <v>0.7</v>
      </c>
      <c r="L109" s="88">
        <f>IF(YB[[#This Row],[Afrondingsdatum YB]]="N/A","-",YB[[#This Row],[Afrondingsdatum YB]]-YB[[#This Row],[StartDatum]])</f>
        <v>57</v>
      </c>
      <c r="M109" s="118"/>
      <c r="N109" s="118" t="s">
        <v>558</v>
      </c>
      <c r="P109">
        <f t="shared" si="5"/>
        <v>115</v>
      </c>
      <c r="Q109">
        <f t="shared" si="7"/>
        <v>97</v>
      </c>
      <c r="R109">
        <f t="shared" si="7"/>
        <v>121</v>
      </c>
      <c r="S109">
        <f t="shared" si="7"/>
        <v>102</v>
      </c>
      <c r="T109">
        <f t="shared" si="7"/>
        <v>101</v>
      </c>
      <c r="U109">
        <f t="shared" si="7"/>
        <v>100</v>
      </c>
      <c r="V109">
        <f t="shared" si="7"/>
        <v>100</v>
      </c>
      <c r="W109">
        <f t="shared" si="7"/>
        <v>105</v>
      </c>
      <c r="X109" s="5">
        <f t="shared" si="6"/>
        <v>958</v>
      </c>
      <c r="Y109" s="9" t="str">
        <f>MID(F109,2,1)&amp;TEXT(X109,"###")</f>
        <v>C958</v>
      </c>
    </row>
    <row r="110" spans="1:25" x14ac:dyDescent="0.2">
      <c r="A110" s="80" t="s">
        <v>425</v>
      </c>
      <c r="B110" s="80">
        <v>3</v>
      </c>
      <c r="C110" s="81">
        <v>13</v>
      </c>
      <c r="D110" s="82">
        <v>45327</v>
      </c>
      <c r="E110" s="82">
        <v>45425</v>
      </c>
      <c r="F110" s="82" t="s">
        <v>280</v>
      </c>
      <c r="G110" s="81" t="s">
        <v>318</v>
      </c>
      <c r="H110" s="83">
        <v>0.39</v>
      </c>
      <c r="I110" s="84" t="s">
        <v>330</v>
      </c>
      <c r="J110" s="81" t="s">
        <v>7</v>
      </c>
      <c r="K110" s="81" t="s">
        <v>9</v>
      </c>
      <c r="L110" s="87" t="str">
        <f>IF(YB[[#This Row],[Afrondingsdatum YB]]="N/A","-",YB[[#This Row],[Afrondingsdatum YB]]-YB[[#This Row],[StartDatum]])</f>
        <v>-</v>
      </c>
      <c r="M110" s="117"/>
      <c r="N110" s="121" t="s">
        <v>8</v>
      </c>
      <c r="P110">
        <f t="shared" si="5"/>
        <v>115</v>
      </c>
      <c r="Q110">
        <f t="shared" si="7"/>
        <v>101</v>
      </c>
      <c r="R110">
        <f t="shared" si="7"/>
        <v>98</v>
      </c>
      <c r="S110">
        <f t="shared" si="7"/>
        <v>97</v>
      </c>
      <c r="T110">
        <f t="shared" si="7"/>
        <v>115</v>
      </c>
      <c r="U110">
        <f t="shared" si="7"/>
        <v>46</v>
      </c>
      <c r="V110">
        <f t="shared" si="7"/>
        <v>100</v>
      </c>
      <c r="W110">
        <f t="shared" si="7"/>
        <v>101</v>
      </c>
      <c r="X110" s="5">
        <f t="shared" si="6"/>
        <v>846</v>
      </c>
      <c r="Y110" s="9" t="str">
        <f>MID(F110,2,1)&amp;TEXT(X110,"###")</f>
        <v>C846</v>
      </c>
    </row>
    <row r="111" spans="1:25" x14ac:dyDescent="0.2">
      <c r="A111" s="76" t="s">
        <v>425</v>
      </c>
      <c r="B111" s="76">
        <v>3</v>
      </c>
      <c r="C111" s="35">
        <v>13</v>
      </c>
      <c r="D111" s="77">
        <v>45327</v>
      </c>
      <c r="E111" s="77">
        <v>45425</v>
      </c>
      <c r="F111" s="77" t="s">
        <v>283</v>
      </c>
      <c r="G111" s="35" t="s">
        <v>357</v>
      </c>
      <c r="H111" s="78">
        <v>0.03</v>
      </c>
      <c r="I111" s="79" t="s">
        <v>70</v>
      </c>
      <c r="J111" s="35" t="s">
        <v>7</v>
      </c>
      <c r="K111" s="35" t="s">
        <v>9</v>
      </c>
      <c r="L111" s="88" t="str">
        <f>IF(YB[[#This Row],[Afrondingsdatum YB]]="N/A","-",YB[[#This Row],[Afrondingsdatum YB]]-YB[[#This Row],[StartDatum]])</f>
        <v>-</v>
      </c>
      <c r="M111" s="118"/>
      <c r="N111" s="118" t="s">
        <v>559</v>
      </c>
      <c r="P111">
        <f t="shared" si="5"/>
        <v>115</v>
      </c>
      <c r="Q111">
        <f t="shared" si="7"/>
        <v>116</v>
      </c>
      <c r="R111">
        <f t="shared" si="7"/>
        <v>105</v>
      </c>
      <c r="S111">
        <f t="shared" si="7"/>
        <v>106</v>
      </c>
      <c r="T111">
        <f t="shared" si="7"/>
        <v>110</v>
      </c>
      <c r="U111">
        <f t="shared" si="7"/>
        <v>46</v>
      </c>
      <c r="V111">
        <f t="shared" si="7"/>
        <v>100</v>
      </c>
      <c r="W111">
        <f t="shared" si="7"/>
        <v>101</v>
      </c>
      <c r="X111" s="5">
        <f t="shared" si="6"/>
        <v>872</v>
      </c>
      <c r="Y111" s="9" t="str">
        <f>MID(F111,2,1)&amp;TEXT(X111,"###")</f>
        <v>C872</v>
      </c>
    </row>
    <row r="112" spans="1:25" x14ac:dyDescent="0.2">
      <c r="A112" s="80" t="s">
        <v>425</v>
      </c>
      <c r="B112" s="80">
        <v>3</v>
      </c>
      <c r="C112" s="81">
        <v>13</v>
      </c>
      <c r="D112" s="82">
        <v>45327</v>
      </c>
      <c r="E112" s="82">
        <v>45425</v>
      </c>
      <c r="F112" s="82" t="s">
        <v>283</v>
      </c>
      <c r="G112" s="81" t="s">
        <v>310</v>
      </c>
      <c r="H112" s="83">
        <v>1</v>
      </c>
      <c r="I112" s="84" t="s">
        <v>352</v>
      </c>
      <c r="J112" s="85">
        <v>45389</v>
      </c>
      <c r="K112" s="86">
        <v>0.85</v>
      </c>
      <c r="L112" s="87">
        <f>IF(YB[[#This Row],[Afrondingsdatum YB]]="N/A","-",YB[[#This Row],[Afrondingsdatum YB]]-YB[[#This Row],[StartDatum]])</f>
        <v>62</v>
      </c>
      <c r="M112" s="117"/>
      <c r="N112" s="117" t="s">
        <v>555</v>
      </c>
      <c r="P112">
        <f t="shared" si="5"/>
        <v>116</v>
      </c>
      <c r="Q112">
        <f t="shared" si="7"/>
        <v>111</v>
      </c>
      <c r="R112">
        <f t="shared" si="7"/>
        <v>109</v>
      </c>
      <c r="S112">
        <f t="shared" si="7"/>
        <v>109</v>
      </c>
      <c r="T112">
        <f t="shared" si="7"/>
        <v>121</v>
      </c>
      <c r="U112">
        <f t="shared" si="7"/>
        <v>46</v>
      </c>
      <c r="V112">
        <f t="shared" si="7"/>
        <v>112</v>
      </c>
      <c r="W112">
        <f t="shared" si="7"/>
        <v>111</v>
      </c>
      <c r="X112" s="5">
        <f t="shared" si="6"/>
        <v>916</v>
      </c>
      <c r="Y112" s="9" t="str">
        <f>MID(F112,2,1)&amp;TEXT(X112,"###")</f>
        <v>C916</v>
      </c>
    </row>
    <row r="113" spans="1:25" x14ac:dyDescent="0.2">
      <c r="A113" s="76" t="s">
        <v>425</v>
      </c>
      <c r="B113" s="76">
        <v>3</v>
      </c>
      <c r="C113" s="35">
        <v>13</v>
      </c>
      <c r="D113" s="77">
        <v>45327</v>
      </c>
      <c r="E113" s="77">
        <v>45425</v>
      </c>
      <c r="F113" s="77" t="s">
        <v>280</v>
      </c>
      <c r="G113" s="35" t="s">
        <v>322</v>
      </c>
      <c r="H113" s="78">
        <v>1</v>
      </c>
      <c r="I113" s="79" t="s">
        <v>158</v>
      </c>
      <c r="J113" s="37">
        <v>45368</v>
      </c>
      <c r="K113" s="36">
        <v>0.85</v>
      </c>
      <c r="L113" s="88">
        <f>IF(YB[[#This Row],[Afrondingsdatum YB]]="N/A","-",YB[[#This Row],[Afrondingsdatum YB]]-YB[[#This Row],[StartDatum]])</f>
        <v>41</v>
      </c>
      <c r="M113" s="118"/>
      <c r="N113" s="118" t="s">
        <v>553</v>
      </c>
      <c r="P113">
        <f t="shared" si="5"/>
        <v>120</v>
      </c>
      <c r="Q113">
        <f t="shared" si="7"/>
        <v>117</v>
      </c>
      <c r="R113">
        <f t="shared" si="7"/>
        <v>121</v>
      </c>
      <c r="S113">
        <f t="shared" si="7"/>
        <v>117</v>
      </c>
      <c r="T113">
        <f t="shared" si="7"/>
        <v>97</v>
      </c>
      <c r="U113">
        <f t="shared" si="7"/>
        <v>110</v>
      </c>
      <c r="V113">
        <f t="shared" si="7"/>
        <v>46</v>
      </c>
      <c r="W113">
        <f t="shared" si="7"/>
        <v>121</v>
      </c>
      <c r="X113" s="5">
        <f t="shared" si="6"/>
        <v>945</v>
      </c>
      <c r="Y113" s="9" t="str">
        <f>MID(F113,2,1)&amp;TEXT(X113,"###")</f>
        <v>C945</v>
      </c>
    </row>
    <row r="114" spans="1:25" x14ac:dyDescent="0.2">
      <c r="A114" s="80" t="s">
        <v>425</v>
      </c>
      <c r="B114" s="80">
        <v>3</v>
      </c>
      <c r="C114" s="81">
        <v>13</v>
      </c>
      <c r="D114" s="82">
        <v>45327</v>
      </c>
      <c r="E114" s="82">
        <v>45425</v>
      </c>
      <c r="F114" s="82" t="s">
        <v>283</v>
      </c>
      <c r="G114" s="81" t="s">
        <v>311</v>
      </c>
      <c r="H114" s="83">
        <v>1</v>
      </c>
      <c r="I114" s="84" t="s">
        <v>164</v>
      </c>
      <c r="J114" s="85">
        <v>45383</v>
      </c>
      <c r="K114" s="86">
        <v>0.78</v>
      </c>
      <c r="L114" s="87">
        <f>IF(YB[[#This Row],[Afrondingsdatum YB]]="N/A","-",YB[[#This Row],[Afrondingsdatum YB]]-YB[[#This Row],[StartDatum]])</f>
        <v>56</v>
      </c>
      <c r="M114" s="117"/>
      <c r="N114" s="117" t="s">
        <v>561</v>
      </c>
      <c r="P114">
        <f t="shared" si="5"/>
        <v>121</v>
      </c>
      <c r="Q114">
        <f t="shared" si="7"/>
        <v>97</v>
      </c>
      <c r="R114">
        <f t="shared" si="7"/>
        <v>115</v>
      </c>
      <c r="S114">
        <f t="shared" si="7"/>
        <v>109</v>
      </c>
      <c r="T114">
        <f t="shared" si="7"/>
        <v>105</v>
      </c>
      <c r="U114">
        <f t="shared" si="7"/>
        <v>110</v>
      </c>
      <c r="V114">
        <f t="shared" si="7"/>
        <v>101</v>
      </c>
      <c r="W114">
        <f t="shared" si="7"/>
        <v>46</v>
      </c>
      <c r="X114" s="5">
        <f t="shared" si="6"/>
        <v>904</v>
      </c>
      <c r="Y114" s="9" t="str">
        <f>MID(F114,2,1)&amp;TEXT(X114,"###")</f>
        <v>C904</v>
      </c>
    </row>
    <row r="115" spans="1:25" x14ac:dyDescent="0.2">
      <c r="A115" s="76" t="s">
        <v>425</v>
      </c>
      <c r="B115" s="76">
        <v>3</v>
      </c>
      <c r="C115" s="35">
        <v>13</v>
      </c>
      <c r="D115" s="77">
        <v>45327</v>
      </c>
      <c r="E115" s="77">
        <v>45425</v>
      </c>
      <c r="F115" s="77" t="s">
        <v>283</v>
      </c>
      <c r="G115" s="122" t="s">
        <v>340</v>
      </c>
      <c r="H115" s="78">
        <v>1</v>
      </c>
      <c r="I115" s="79" t="s">
        <v>341</v>
      </c>
      <c r="J115" s="37">
        <v>45375</v>
      </c>
      <c r="K115" s="36">
        <v>0.9</v>
      </c>
      <c r="L115" s="88">
        <f>IF(YB[[#This Row],[Afrondingsdatum YB]]="N/A","-",YB[[#This Row],[Afrondingsdatum YB]]-YB[[#This Row],[StartDatum]])</f>
        <v>48</v>
      </c>
      <c r="M115" s="118"/>
      <c r="N115" s="118" t="s">
        <v>559</v>
      </c>
      <c r="P115">
        <f t="shared" si="5"/>
        <v>121</v>
      </c>
      <c r="Q115">
        <f t="shared" si="7"/>
        <v>111</v>
      </c>
      <c r="R115">
        <f t="shared" si="7"/>
        <v>117</v>
      </c>
      <c r="S115">
        <f t="shared" si="7"/>
        <v>115</v>
      </c>
      <c r="T115">
        <f t="shared" si="7"/>
        <v>115</v>
      </c>
      <c r="U115">
        <f t="shared" si="7"/>
        <v>101</v>
      </c>
      <c r="V115">
        <f t="shared" si="7"/>
        <v>102</v>
      </c>
      <c r="W115">
        <f t="shared" si="7"/>
        <v>46</v>
      </c>
      <c r="X115" s="5">
        <f t="shared" si="6"/>
        <v>920</v>
      </c>
      <c r="Y115" s="9" t="str">
        <f>MID(F115,2,1)&amp;TEXT(X115,"###")</f>
        <v>C920</v>
      </c>
    </row>
    <row r="116" spans="1:25" x14ac:dyDescent="0.2">
      <c r="A116" s="80" t="s">
        <v>425</v>
      </c>
      <c r="B116" s="80">
        <v>3</v>
      </c>
      <c r="C116" s="81">
        <v>13</v>
      </c>
      <c r="D116" s="82">
        <v>45327</v>
      </c>
      <c r="E116" s="82">
        <v>45425</v>
      </c>
      <c r="F116" s="82" t="s">
        <v>280</v>
      </c>
      <c r="G116" s="81" t="s">
        <v>312</v>
      </c>
      <c r="H116" s="83">
        <v>0.99</v>
      </c>
      <c r="I116" s="84" t="s">
        <v>179</v>
      </c>
      <c r="J116" s="81" t="s">
        <v>7</v>
      </c>
      <c r="K116" s="81" t="s">
        <v>9</v>
      </c>
      <c r="L116" s="87" t="str">
        <f>IF(YB[[#This Row],[Afrondingsdatum YB]]="N/A","-",YB[[#This Row],[Afrondingsdatum YB]]-YB[[#This Row],[StartDatum]])</f>
        <v>-</v>
      </c>
      <c r="M116" s="117"/>
      <c r="N116" s="117" t="s">
        <v>554</v>
      </c>
      <c r="P116">
        <f t="shared" si="5"/>
        <v>121</v>
      </c>
      <c r="Q116">
        <f t="shared" si="7"/>
        <v>111</v>
      </c>
      <c r="R116">
        <f t="shared" si="7"/>
        <v>117</v>
      </c>
      <c r="S116">
        <f t="shared" si="7"/>
        <v>115</v>
      </c>
      <c r="T116">
        <f t="shared" si="7"/>
        <v>115</v>
      </c>
      <c r="U116">
        <f t="shared" si="7"/>
        <v>114</v>
      </c>
      <c r="V116">
        <f t="shared" si="7"/>
        <v>97</v>
      </c>
      <c r="W116">
        <f t="shared" si="7"/>
        <v>46</v>
      </c>
      <c r="X116" s="5">
        <f t="shared" si="6"/>
        <v>928</v>
      </c>
      <c r="Y116" s="9" t="str">
        <f>MID(F116,2,1)&amp;TEXT(X116,"###")</f>
        <v>C928</v>
      </c>
    </row>
    <row r="117" spans="1:25" x14ac:dyDescent="0.2">
      <c r="A117" s="76" t="s">
        <v>425</v>
      </c>
      <c r="B117" s="22">
        <v>3</v>
      </c>
      <c r="C117" s="25">
        <v>13</v>
      </c>
      <c r="D117" s="23">
        <v>45327</v>
      </c>
      <c r="E117" s="23">
        <v>45425</v>
      </c>
      <c r="F117" s="23" t="s">
        <v>283</v>
      </c>
      <c r="G117" s="25" t="s">
        <v>323</v>
      </c>
      <c r="H117" s="92">
        <v>1</v>
      </c>
      <c r="I117" s="93" t="s">
        <v>187</v>
      </c>
      <c r="J117" s="32">
        <v>45384</v>
      </c>
      <c r="K117" s="24">
        <v>0.75</v>
      </c>
      <c r="L117" s="94">
        <f>IF(YB[[#This Row],[Afrondingsdatum YB]]="N/A","-",YB[[#This Row],[Afrondingsdatum YB]]-YB[[#This Row],[StartDatum]])</f>
        <v>57</v>
      </c>
      <c r="M117" s="120"/>
      <c r="N117" s="120" t="s">
        <v>558</v>
      </c>
      <c r="P117">
        <f t="shared" si="5"/>
        <v>122</v>
      </c>
      <c r="Q117">
        <f t="shared" si="7"/>
        <v>105</v>
      </c>
      <c r="R117">
        <f t="shared" si="7"/>
        <v>97</v>
      </c>
      <c r="S117">
        <f t="shared" si="7"/>
        <v>46</v>
      </c>
      <c r="T117">
        <f t="shared" si="7"/>
        <v>100</v>
      </c>
      <c r="U117">
        <f t="shared" si="7"/>
        <v>105</v>
      </c>
      <c r="V117">
        <f t="shared" si="7"/>
        <v>110</v>
      </c>
      <c r="W117">
        <f t="shared" si="7"/>
        <v>109</v>
      </c>
      <c r="X117" s="5">
        <f t="shared" si="6"/>
        <v>901</v>
      </c>
      <c r="Y117" s="9" t="str">
        <f>MID(F117,2,1)&amp;TEXT(X117,"###")</f>
        <v>C901</v>
      </c>
    </row>
    <row r="118" spans="1:25" x14ac:dyDescent="0.2">
      <c r="A118" s="22" t="s">
        <v>378</v>
      </c>
      <c r="B118" s="22"/>
      <c r="C118" s="25"/>
      <c r="D118" s="25"/>
      <c r="E118" s="25"/>
      <c r="F118" s="25"/>
      <c r="G118" s="25"/>
      <c r="H118" s="93"/>
      <c r="I118" s="93"/>
      <c r="J118" s="25"/>
      <c r="K118" s="25"/>
      <c r="L118" s="95">
        <f>SUBTOTAL(101,YB[TimeToComplete])</f>
        <v>53.934065934065934</v>
      </c>
      <c r="M118" s="104"/>
      <c r="N118" s="104"/>
    </row>
    <row r="119" spans="1:25" x14ac:dyDescent="0.2">
      <c r="A119" s="9"/>
      <c r="B119" s="9"/>
      <c r="C119" s="9"/>
      <c r="D119" s="9"/>
      <c r="E119" s="9"/>
      <c r="F119" s="9"/>
      <c r="G119" s="9"/>
      <c r="H119" s="63"/>
      <c r="I119" s="63"/>
      <c r="J119" s="9"/>
      <c r="K119" s="9"/>
      <c r="L119" s="100"/>
    </row>
    <row r="120" spans="1:25" x14ac:dyDescent="0.2">
      <c r="G120" s="4" t="s">
        <v>377</v>
      </c>
      <c r="J120" s="4" t="s">
        <v>427</v>
      </c>
      <c r="K120" s="4" t="s">
        <v>428</v>
      </c>
      <c r="L120" s="4" t="s">
        <v>418</v>
      </c>
      <c r="M120" s="4" t="s">
        <v>426</v>
      </c>
    </row>
    <row r="121" spans="1:25" x14ac:dyDescent="0.2">
      <c r="F121" t="s">
        <v>362</v>
      </c>
      <c r="G121">
        <f>COUNTIF(YB[Klas],"="&amp;F121)</f>
        <v>21</v>
      </c>
      <c r="J121">
        <f>COUNTIFS(YB[Klas],"="&amp;F121,YB[Afrondingsdatum YB],"&lt;&gt;N/A")</f>
        <v>14</v>
      </c>
      <c r="K121">
        <f>COUNTIFS(YB[Klas],"="&amp;F121,YB[Afrondingsdatum YB],"=N/A")</f>
        <v>7</v>
      </c>
      <c r="L121" s="71" cm="1">
        <f t="array" ref="L121">AVERAGE(_xlfn._xlws.FILTER(YB[TimeToComplete],YB[Klas]=F121))</f>
        <v>61.571428571428569</v>
      </c>
      <c r="M121" s="71" cm="1">
        <f t="array" ref="M121">_xlfn.STDEV.S(_xlfn._xlws.FILTER(YB[TimeToComplete],YB[Klas]=F121))</f>
        <v>8.4645349339672364</v>
      </c>
    </row>
    <row r="122" spans="1:25" x14ac:dyDescent="0.2">
      <c r="F122" t="s">
        <v>363</v>
      </c>
      <c r="G122">
        <f>COUNTIF(YB[Klas],"="&amp;F122)</f>
        <v>25</v>
      </c>
      <c r="J122">
        <f>COUNTIFS(YB[Klas],"="&amp;F122,YB[Afrondingsdatum YB],"&lt;&gt;N/A")</f>
        <v>22</v>
      </c>
      <c r="K122">
        <f>COUNTIFS(YB[Klas],"="&amp;F122,YB[Afrondingsdatum YB],"=N/A")</f>
        <v>3</v>
      </c>
      <c r="L122" s="71" cm="1">
        <f t="array" ref="L122">AVERAGE(_xlfn._xlws.FILTER(YB[TimeToComplete],YB[Klas]=F122))</f>
        <v>49.545454545454547</v>
      </c>
      <c r="M122" s="71" cm="1">
        <f t="array" ref="M122">_xlfn.STDEV.S(_xlfn._xlws.FILTER(YB[TimeToComplete],YB[Klas]=F122))</f>
        <v>9.379446997239544</v>
      </c>
    </row>
    <row r="123" spans="1:25" x14ac:dyDescent="0.2">
      <c r="F123" t="s">
        <v>364</v>
      </c>
      <c r="G123">
        <f>COUNTIF(YB[Klas],"="&amp;F123)</f>
        <v>29</v>
      </c>
      <c r="J123">
        <f>COUNTIFS(YB[Klas],"="&amp;F123,YB[Afrondingsdatum YB],"&lt;&gt;N/A")</f>
        <v>26</v>
      </c>
      <c r="K123">
        <f>COUNTIFS(YB[Klas],"="&amp;F123,YB[Afrondingsdatum YB],"=N/A")</f>
        <v>3</v>
      </c>
      <c r="L123" s="71" cm="1">
        <f t="array" ref="L123">AVERAGE(_xlfn._xlws.FILTER(YB[TimeToComplete],YB[Klas]=F123))</f>
        <v>57.153846153846153</v>
      </c>
      <c r="M123" s="71" cm="1">
        <f t="array" ref="M123">_xlfn.STDEV.S(_xlfn._xlws.FILTER(YB[TimeToComplete],YB[Klas]=F123))</f>
        <v>12.095262899804386</v>
      </c>
    </row>
    <row r="124" spans="1:25" x14ac:dyDescent="0.2">
      <c r="F124" t="s">
        <v>280</v>
      </c>
      <c r="G124">
        <f>COUNTIF(YB[Klas],"="&amp;F124)</f>
        <v>16</v>
      </c>
      <c r="J124">
        <f>COUNTIFS(YB[Klas],"="&amp;F124,YB[Afrondingsdatum YB],"&lt;&gt;N/A")</f>
        <v>6</v>
      </c>
      <c r="K124">
        <f>COUNTIFS(YB[Klas],"="&amp;F124,YB[Afrondingsdatum YB],"=N/A")</f>
        <v>10</v>
      </c>
      <c r="L124" s="71" cm="1">
        <f t="array" ref="L124">AVERAGE(_xlfn._xlws.FILTER(YB[TimeToComplete],YB[Klas]=F124))</f>
        <v>50.833333333333336</v>
      </c>
      <c r="M124" s="71" cm="1">
        <f t="array" ref="M124">_xlfn.STDEV.S(_xlfn._xlws.FILTER(YB[TimeToComplete],YB[Klas]=F124))</f>
        <v>8.6120071218425487</v>
      </c>
    </row>
    <row r="125" spans="1:25" x14ac:dyDescent="0.2">
      <c r="F125" t="s">
        <v>283</v>
      </c>
      <c r="G125" s="52">
        <f>COUNTIF(YB[Klas],"="&amp;F125)</f>
        <v>25</v>
      </c>
      <c r="J125" s="52">
        <f>COUNTIFS(YB[Klas],"="&amp;F125,YB[Afrondingsdatum YB],"&lt;&gt;N/A")</f>
        <v>23</v>
      </c>
      <c r="K125" s="52">
        <f>COUNTIFS(YB[Klas],"="&amp;F125,YB[Afrondingsdatum YB],"=N/A")</f>
        <v>2</v>
      </c>
      <c r="L125" s="99" cm="1">
        <f t="array" ref="L125">AVERAGE(_xlfn._xlws.FILTER(YB[TimeToComplete],YB[Klas]=F125))</f>
        <v>50.652173913043477</v>
      </c>
      <c r="M125" s="99" cm="1">
        <f t="array" ref="M125">_xlfn.STDEV.S(_xlfn._xlws.FILTER(YB[TimeToComplete],YB[Klas]=F125))</f>
        <v>15.331514470800961</v>
      </c>
    </row>
    <row r="126" spans="1:25" x14ac:dyDescent="0.2">
      <c r="G126">
        <f>SUM(G121:G125)</f>
        <v>116</v>
      </c>
      <c r="J126">
        <f>COUNTIF(YB[Afrondingsdatum YB],"&lt;&gt;N/A")</f>
        <v>91</v>
      </c>
      <c r="K126">
        <f>COUNTIFS(YB[Afrondingsdatum YB],"=N/A")</f>
        <v>25</v>
      </c>
      <c r="L126" s="71">
        <f>AVERAGE(YB[TimeToComplete])</f>
        <v>53.934065934065934</v>
      </c>
      <c r="M126" s="71">
        <f>_xlfn.STDEV.S(YB[TimeToComplete])</f>
        <v>12.379914016755977</v>
      </c>
    </row>
    <row r="129" spans="6:7" x14ac:dyDescent="0.2">
      <c r="F129" t="s">
        <v>570</v>
      </c>
      <c r="G129" t="s">
        <v>585</v>
      </c>
    </row>
    <row r="130" spans="6:7" x14ac:dyDescent="0.2">
      <c r="F130" t="s">
        <v>555</v>
      </c>
      <c r="G130" t="s">
        <v>584</v>
      </c>
    </row>
    <row r="131" spans="6:7" x14ac:dyDescent="0.2">
      <c r="F131" t="s">
        <v>560</v>
      </c>
      <c r="G131" t="s">
        <v>583</v>
      </c>
    </row>
    <row r="132" spans="6:7" x14ac:dyDescent="0.2">
      <c r="F132" t="s">
        <v>362</v>
      </c>
      <c r="G132" t="s">
        <v>582</v>
      </c>
    </row>
    <row r="133" spans="6:7" x14ac:dyDescent="0.2">
      <c r="F133" t="s">
        <v>362</v>
      </c>
      <c r="G133" t="s">
        <v>586</v>
      </c>
    </row>
  </sheetData>
  <conditionalFormatting sqref="G19">
    <cfRule type="duplicateValues" dxfId="65" priority="2"/>
  </conditionalFormatting>
  <conditionalFormatting sqref="G66">
    <cfRule type="duplicateValues" dxfId="64" priority="1"/>
  </conditionalFormatting>
  <conditionalFormatting sqref="G77:G104 G106:G107">
    <cfRule type="duplicateValues" dxfId="63" priority="6"/>
  </conditionalFormatting>
  <conditionalFormatting sqref="G110">
    <cfRule type="duplicateValues" dxfId="62" priority="5"/>
  </conditionalFormatting>
  <conditionalFormatting sqref="G111">
    <cfRule type="duplicateValues" dxfId="61" priority="4"/>
  </conditionalFormatting>
  <conditionalFormatting sqref="G112">
    <cfRule type="duplicateValues" dxfId="60" priority="3"/>
  </conditionalFormatting>
  <hyperlinks>
    <hyperlink ref="G115" r:id="rId1" xr:uid="{C83D63EE-9F27-D54D-A40B-DCCF87CFEFFA}"/>
    <hyperlink ref="G34" r:id="rId2" xr:uid="{B84AC179-483E-2648-BE3E-E4FDBBD6E85F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8ACE-9AFF-5245-8962-93322116A66C}">
  <dimension ref="A1:X1439"/>
  <sheetViews>
    <sheetView topLeftCell="C1" workbookViewId="0">
      <selection activeCell="O1" sqref="O1:X2"/>
    </sheetView>
  </sheetViews>
  <sheetFormatPr baseColWidth="10" defaultRowHeight="16" x14ac:dyDescent="0.2"/>
  <cols>
    <col min="1" max="2" width="10.83203125" style="9"/>
    <col min="3" max="3" width="14.33203125" style="9" bestFit="1" customWidth="1"/>
    <col min="4" max="4" width="14.33203125" style="9" customWidth="1"/>
    <col min="5" max="5" width="27.1640625" style="9" bestFit="1" customWidth="1"/>
    <col min="6" max="6" width="16" style="7" customWidth="1"/>
    <col min="7" max="7" width="23" style="7" customWidth="1"/>
    <col min="8" max="8" width="20.33203125" style="7" customWidth="1"/>
    <col min="9" max="9" width="11.83203125" style="8" customWidth="1"/>
    <col min="10" max="10" width="12.83203125" bestFit="1" customWidth="1"/>
    <col min="12" max="12" width="11.6640625" bestFit="1" customWidth="1"/>
    <col min="22" max="22" width="10.83203125" style="9"/>
  </cols>
  <sheetData>
    <row r="1" spans="1:24" x14ac:dyDescent="0.2">
      <c r="A1" s="70" t="s">
        <v>361</v>
      </c>
      <c r="B1" s="9" t="s">
        <v>279</v>
      </c>
      <c r="C1" s="13" t="s">
        <v>278</v>
      </c>
      <c r="D1" s="14" t="s">
        <v>417</v>
      </c>
      <c r="E1" s="14" t="s">
        <v>5</v>
      </c>
      <c r="F1" s="14" t="s">
        <v>277</v>
      </c>
      <c r="G1" s="14" t="s">
        <v>0</v>
      </c>
      <c r="H1" s="15" t="s">
        <v>387</v>
      </c>
      <c r="I1" s="15" t="s">
        <v>386</v>
      </c>
      <c r="J1" s="16" t="s">
        <v>385</v>
      </c>
      <c r="K1" s="15" t="s">
        <v>384</v>
      </c>
      <c r="L1" s="33" t="s">
        <v>6</v>
      </c>
      <c r="M1" s="70" t="s">
        <v>416</v>
      </c>
      <c r="N1" s="70"/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 s="4" t="s">
        <v>360</v>
      </c>
      <c r="X1" s="9"/>
    </row>
    <row r="2" spans="1:24" x14ac:dyDescent="0.2">
      <c r="A2" s="9" t="s">
        <v>425</v>
      </c>
      <c r="B2" s="9">
        <v>1</v>
      </c>
      <c r="C2" s="17">
        <v>2</v>
      </c>
      <c r="D2" s="20"/>
      <c r="E2" s="18">
        <v>45180</v>
      </c>
      <c r="F2" s="18" t="s">
        <v>363</v>
      </c>
      <c r="G2" s="20" t="s">
        <v>10</v>
      </c>
      <c r="H2" s="19">
        <v>0</v>
      </c>
      <c r="I2" s="20" t="s">
        <v>8</v>
      </c>
      <c r="J2" s="20" t="s">
        <v>7</v>
      </c>
      <c r="K2" s="21" t="s">
        <v>9</v>
      </c>
      <c r="L2" s="20">
        <f t="shared" ref="L2:L65" si="0">SUM(O2:U2)</f>
        <v>662</v>
      </c>
      <c r="M2" s="4" t="str">
        <f>IF(Table3[[#This Row],[Afrondingsdatum YB]]="N/A","-",Table3[[#This Row],[Afrondingsdatum YB]]-Table3[[#This Row],[StartDatum]])</f>
        <v>-</v>
      </c>
      <c r="N2" s="4"/>
      <c r="O2">
        <f>CODE(MID($G2,O$1,1))</f>
        <v>97</v>
      </c>
      <c r="P2">
        <f t="shared" ref="P2:V17" si="1">CODE(MID($G2,P$1,1))</f>
        <v>100</v>
      </c>
      <c r="Q2">
        <f t="shared" si="1"/>
        <v>97</v>
      </c>
      <c r="R2">
        <f t="shared" si="1"/>
        <v>109</v>
      </c>
      <c r="S2">
        <f t="shared" si="1"/>
        <v>46</v>
      </c>
      <c r="T2">
        <f t="shared" si="1"/>
        <v>97</v>
      </c>
      <c r="U2">
        <f t="shared" si="1"/>
        <v>116</v>
      </c>
      <c r="V2">
        <f t="shared" si="1"/>
        <v>116</v>
      </c>
      <c r="W2" s="5">
        <f>ROUND((O2*O$1+P2/P$1+Q2*Q$1+R2/R$1)+SUM(S2:V2),0)</f>
        <v>840</v>
      </c>
      <c r="X2" s="9" t="str">
        <f>MID(G2,2,1)&amp;TEXT(W2,"###")</f>
        <v>d840</v>
      </c>
    </row>
    <row r="3" spans="1:24" x14ac:dyDescent="0.2">
      <c r="A3" s="9" t="s">
        <v>425</v>
      </c>
      <c r="B3" s="9">
        <v>1</v>
      </c>
      <c r="C3" s="22">
        <v>2</v>
      </c>
      <c r="D3" s="25"/>
      <c r="E3" s="23">
        <v>45180</v>
      </c>
      <c r="F3" s="23" t="s">
        <v>362</v>
      </c>
      <c r="G3" s="25" t="s">
        <v>11</v>
      </c>
      <c r="H3" s="24">
        <v>0</v>
      </c>
      <c r="I3" s="25" t="s">
        <v>8</v>
      </c>
      <c r="J3" s="25" t="s">
        <v>7</v>
      </c>
      <c r="K3" s="26" t="s">
        <v>9</v>
      </c>
      <c r="L3" s="25">
        <f t="shared" si="0"/>
        <v>641</v>
      </c>
      <c r="M3" s="4" t="str">
        <f>IF(Table3[[#This Row],[Afrondingsdatum YB]]="N/A","-",Table3[[#This Row],[Afrondingsdatum YB]]-Table3[[#This Row],[StartDatum]])</f>
        <v>-</v>
      </c>
      <c r="N3" s="4"/>
      <c r="O3">
        <f t="shared" ref="O3:V47" si="2">CODE(MID($G3,O$1,1))</f>
        <v>65</v>
      </c>
      <c r="P3">
        <f t="shared" si="1"/>
        <v>100</v>
      </c>
      <c r="Q3">
        <f t="shared" si="1"/>
        <v>105</v>
      </c>
      <c r="R3">
        <f t="shared" si="1"/>
        <v>108</v>
      </c>
      <c r="S3">
        <f t="shared" si="1"/>
        <v>46</v>
      </c>
      <c r="T3">
        <f t="shared" si="1"/>
        <v>106</v>
      </c>
      <c r="U3">
        <f t="shared" si="1"/>
        <v>111</v>
      </c>
      <c r="V3">
        <f t="shared" si="1"/>
        <v>117</v>
      </c>
      <c r="W3" s="5">
        <f t="shared" ref="W3:W66" si="3">ROUND((O3*O$1+P3/P$1+Q3*Q$1+R3/R$1)+SUM(S3:V3),0)</f>
        <v>837</v>
      </c>
      <c r="X3" s="9" t="str">
        <f t="shared" ref="X3:X66" si="4">MID(G3,2,1)&amp;TEXT(W3,"###")</f>
        <v>d837</v>
      </c>
    </row>
    <row r="4" spans="1:24" x14ac:dyDescent="0.2">
      <c r="A4" s="9" t="s">
        <v>425</v>
      </c>
      <c r="B4" s="9">
        <v>1</v>
      </c>
      <c r="C4" s="17">
        <v>2</v>
      </c>
      <c r="D4" s="20"/>
      <c r="E4" s="18">
        <v>45180</v>
      </c>
      <c r="F4" s="18" t="s">
        <v>364</v>
      </c>
      <c r="G4" s="20" t="s">
        <v>12</v>
      </c>
      <c r="H4" s="19">
        <v>0</v>
      </c>
      <c r="I4" s="20" t="s">
        <v>8</v>
      </c>
      <c r="J4" s="20" t="s">
        <v>7</v>
      </c>
      <c r="K4" s="21" t="s">
        <v>9</v>
      </c>
      <c r="L4" s="20">
        <f t="shared" si="0"/>
        <v>677</v>
      </c>
      <c r="M4" s="4" t="str">
        <f>IF(Table3[[#This Row],[Afrondingsdatum YB]]="N/A","-",Table3[[#This Row],[Afrondingsdatum YB]]-Table3[[#This Row],[StartDatum]])</f>
        <v>-</v>
      </c>
      <c r="N4" s="4"/>
      <c r="O4">
        <f t="shared" si="2"/>
        <v>97</v>
      </c>
      <c r="P4">
        <f t="shared" si="1"/>
        <v>103</v>
      </c>
      <c r="Q4">
        <f t="shared" si="1"/>
        <v>104</v>
      </c>
      <c r="R4">
        <f t="shared" si="1"/>
        <v>105</v>
      </c>
      <c r="S4">
        <f t="shared" si="1"/>
        <v>108</v>
      </c>
      <c r="T4">
        <f t="shared" si="1"/>
        <v>46</v>
      </c>
      <c r="U4">
        <f t="shared" si="1"/>
        <v>114</v>
      </c>
      <c r="V4">
        <f t="shared" si="1"/>
        <v>101</v>
      </c>
      <c r="W4" s="5">
        <f t="shared" si="3"/>
        <v>856</v>
      </c>
      <c r="X4" s="9" t="str">
        <f t="shared" si="4"/>
        <v>g856</v>
      </c>
    </row>
    <row r="5" spans="1:24" x14ac:dyDescent="0.2">
      <c r="A5" s="9" t="s">
        <v>425</v>
      </c>
      <c r="B5" s="9">
        <v>1</v>
      </c>
      <c r="C5" s="22">
        <v>2</v>
      </c>
      <c r="D5" s="25"/>
      <c r="E5" s="23">
        <v>45180</v>
      </c>
      <c r="F5" s="23" t="s">
        <v>364</v>
      </c>
      <c r="G5" s="25" t="s">
        <v>13</v>
      </c>
      <c r="H5" s="24">
        <v>0</v>
      </c>
      <c r="I5" s="25" t="s">
        <v>8</v>
      </c>
      <c r="J5" s="25" t="s">
        <v>7</v>
      </c>
      <c r="K5" s="26" t="s">
        <v>9</v>
      </c>
      <c r="L5" s="25">
        <f t="shared" si="0"/>
        <v>669</v>
      </c>
      <c r="M5" s="4" t="str">
        <f>IF(Table3[[#This Row],[Afrondingsdatum YB]]="N/A","-",Table3[[#This Row],[Afrondingsdatum YB]]-Table3[[#This Row],[StartDatum]])</f>
        <v>-</v>
      </c>
      <c r="N5" s="4"/>
      <c r="O5">
        <f t="shared" si="2"/>
        <v>97</v>
      </c>
      <c r="P5">
        <f t="shared" si="1"/>
        <v>109</v>
      </c>
      <c r="Q5">
        <f t="shared" si="1"/>
        <v>105</v>
      </c>
      <c r="R5">
        <f t="shared" si="1"/>
        <v>110</v>
      </c>
      <c r="S5">
        <f t="shared" si="1"/>
        <v>101</v>
      </c>
      <c r="T5">
        <f t="shared" si="1"/>
        <v>46</v>
      </c>
      <c r="U5">
        <f t="shared" si="1"/>
        <v>101</v>
      </c>
      <c r="V5">
        <f t="shared" si="1"/>
        <v>108</v>
      </c>
      <c r="W5" s="5">
        <f t="shared" si="3"/>
        <v>850</v>
      </c>
      <c r="X5" s="9" t="str">
        <f t="shared" si="4"/>
        <v>m850</v>
      </c>
    </row>
    <row r="6" spans="1:24" x14ac:dyDescent="0.2">
      <c r="A6" s="9" t="s">
        <v>425</v>
      </c>
      <c r="B6" s="9">
        <v>1</v>
      </c>
      <c r="C6" s="17">
        <v>2</v>
      </c>
      <c r="D6" s="20"/>
      <c r="E6" s="18">
        <v>45180</v>
      </c>
      <c r="F6" s="18" t="s">
        <v>363</v>
      </c>
      <c r="G6" s="20" t="s">
        <v>14</v>
      </c>
      <c r="H6" s="19">
        <v>0</v>
      </c>
      <c r="I6" s="20" t="s">
        <v>8</v>
      </c>
      <c r="J6" s="20" t="s">
        <v>7</v>
      </c>
      <c r="K6" s="21" t="s">
        <v>9</v>
      </c>
      <c r="L6" s="20">
        <f t="shared" si="0"/>
        <v>676</v>
      </c>
      <c r="M6" s="4" t="str">
        <f>IF(Table3[[#This Row],[Afrondingsdatum YB]]="N/A","-",Table3[[#This Row],[Afrondingsdatum YB]]-Table3[[#This Row],[StartDatum]])</f>
        <v>-</v>
      </c>
      <c r="N6" s="4"/>
      <c r="O6">
        <f t="shared" si="2"/>
        <v>97</v>
      </c>
      <c r="P6">
        <f t="shared" si="1"/>
        <v>110</v>
      </c>
      <c r="Q6">
        <f t="shared" si="1"/>
        <v>103</v>
      </c>
      <c r="R6">
        <f t="shared" si="1"/>
        <v>101</v>
      </c>
      <c r="S6">
        <f t="shared" si="1"/>
        <v>108</v>
      </c>
      <c r="T6">
        <f t="shared" si="1"/>
        <v>111</v>
      </c>
      <c r="U6">
        <f t="shared" si="1"/>
        <v>46</v>
      </c>
      <c r="V6">
        <f t="shared" si="1"/>
        <v>115</v>
      </c>
      <c r="W6" s="5">
        <f t="shared" si="3"/>
        <v>866</v>
      </c>
      <c r="X6" s="9" t="str">
        <f t="shared" si="4"/>
        <v>n866</v>
      </c>
    </row>
    <row r="7" spans="1:24" x14ac:dyDescent="0.2">
      <c r="A7" s="9" t="s">
        <v>425</v>
      </c>
      <c r="B7" s="9">
        <v>1</v>
      </c>
      <c r="C7" s="22">
        <v>2</v>
      </c>
      <c r="D7" s="25"/>
      <c r="E7" s="23">
        <v>45180</v>
      </c>
      <c r="F7" s="23" t="s">
        <v>362</v>
      </c>
      <c r="G7" s="25" t="s">
        <v>15</v>
      </c>
      <c r="H7" s="24">
        <v>0</v>
      </c>
      <c r="I7" s="25" t="s">
        <v>8</v>
      </c>
      <c r="J7" s="25" t="s">
        <v>7</v>
      </c>
      <c r="K7" s="26" t="s">
        <v>9</v>
      </c>
      <c r="L7" s="25">
        <f t="shared" si="0"/>
        <v>755</v>
      </c>
      <c r="M7" s="4" t="str">
        <f>IF(Table3[[#This Row],[Afrondingsdatum YB]]="N/A","-",Table3[[#This Row],[Afrondingsdatum YB]]-Table3[[#This Row],[StartDatum]])</f>
        <v>-</v>
      </c>
      <c r="N7" s="4"/>
      <c r="O7">
        <f t="shared" si="2"/>
        <v>97</v>
      </c>
      <c r="P7">
        <f t="shared" si="1"/>
        <v>115</v>
      </c>
      <c r="Q7">
        <f t="shared" si="1"/>
        <v>104</v>
      </c>
      <c r="R7">
        <f t="shared" si="1"/>
        <v>111</v>
      </c>
      <c r="S7">
        <f t="shared" si="1"/>
        <v>101</v>
      </c>
      <c r="T7">
        <f t="shared" si="1"/>
        <v>116</v>
      </c>
      <c r="U7">
        <f t="shared" si="1"/>
        <v>111</v>
      </c>
      <c r="V7">
        <f t="shared" si="1"/>
        <v>115</v>
      </c>
      <c r="W7" s="5">
        <f t="shared" si="3"/>
        <v>937</v>
      </c>
      <c r="X7" s="9" t="str">
        <f t="shared" si="4"/>
        <v>s937</v>
      </c>
    </row>
    <row r="8" spans="1:24" x14ac:dyDescent="0.2">
      <c r="A8" s="9" t="s">
        <v>425</v>
      </c>
      <c r="B8" s="9">
        <v>1</v>
      </c>
      <c r="C8" s="17">
        <v>2</v>
      </c>
      <c r="D8" s="20"/>
      <c r="E8" s="18">
        <v>45180</v>
      </c>
      <c r="F8" s="18" t="s">
        <v>364</v>
      </c>
      <c r="G8" s="20" t="s">
        <v>16</v>
      </c>
      <c r="H8" s="19">
        <v>0</v>
      </c>
      <c r="I8" s="20" t="s">
        <v>8</v>
      </c>
      <c r="J8" s="20" t="s">
        <v>7</v>
      </c>
      <c r="K8" s="21" t="s">
        <v>9</v>
      </c>
      <c r="L8" s="20">
        <f t="shared" si="0"/>
        <v>672</v>
      </c>
      <c r="M8" s="4" t="str">
        <f>IF(Table3[[#This Row],[Afrondingsdatum YB]]="N/A","-",Table3[[#This Row],[Afrondingsdatum YB]]-Table3[[#This Row],[StartDatum]])</f>
        <v>-</v>
      </c>
      <c r="N8" s="4"/>
      <c r="O8">
        <f t="shared" si="2"/>
        <v>97</v>
      </c>
      <c r="P8">
        <f t="shared" si="1"/>
        <v>121</v>
      </c>
      <c r="Q8">
        <f t="shared" si="1"/>
        <v>100</v>
      </c>
      <c r="R8">
        <f t="shared" si="1"/>
        <v>101</v>
      </c>
      <c r="S8">
        <f t="shared" si="1"/>
        <v>110</v>
      </c>
      <c r="T8">
        <f t="shared" si="1"/>
        <v>46</v>
      </c>
      <c r="U8">
        <f t="shared" si="1"/>
        <v>97</v>
      </c>
      <c r="V8">
        <f t="shared" si="1"/>
        <v>110</v>
      </c>
      <c r="W8" s="5">
        <f t="shared" si="3"/>
        <v>846</v>
      </c>
      <c r="X8" s="9" t="str">
        <f t="shared" si="4"/>
        <v>y846</v>
      </c>
    </row>
    <row r="9" spans="1:24" x14ac:dyDescent="0.2">
      <c r="A9" s="9" t="s">
        <v>425</v>
      </c>
      <c r="B9" s="9">
        <v>1</v>
      </c>
      <c r="C9" s="22">
        <v>2</v>
      </c>
      <c r="D9" s="25"/>
      <c r="E9" s="23">
        <v>45180</v>
      </c>
      <c r="F9" s="23" t="s">
        <v>362</v>
      </c>
      <c r="G9" s="25" t="s">
        <v>17</v>
      </c>
      <c r="H9" s="24">
        <v>0</v>
      </c>
      <c r="I9" s="25" t="s">
        <v>8</v>
      </c>
      <c r="J9" s="25" t="s">
        <v>7</v>
      </c>
      <c r="K9" s="26" t="s">
        <v>9</v>
      </c>
      <c r="L9" s="25">
        <f t="shared" si="0"/>
        <v>707</v>
      </c>
      <c r="M9" s="4" t="str">
        <f>IF(Table3[[#This Row],[Afrondingsdatum YB]]="N/A","-",Table3[[#This Row],[Afrondingsdatum YB]]-Table3[[#This Row],[StartDatum]])</f>
        <v>-</v>
      </c>
      <c r="N9" s="4"/>
      <c r="O9">
        <f t="shared" si="2"/>
        <v>98</v>
      </c>
      <c r="P9">
        <f t="shared" si="1"/>
        <v>101</v>
      </c>
      <c r="Q9">
        <f t="shared" si="1"/>
        <v>116</v>
      </c>
      <c r="R9">
        <f t="shared" si="1"/>
        <v>117</v>
      </c>
      <c r="S9">
        <f t="shared" si="1"/>
        <v>108</v>
      </c>
      <c r="T9">
        <f t="shared" si="1"/>
        <v>46</v>
      </c>
      <c r="U9">
        <f t="shared" si="1"/>
        <v>121</v>
      </c>
      <c r="V9">
        <f t="shared" si="1"/>
        <v>117</v>
      </c>
      <c r="W9" s="5">
        <f t="shared" si="3"/>
        <v>918</v>
      </c>
      <c r="X9" s="9" t="str">
        <f t="shared" si="4"/>
        <v>e918</v>
      </c>
    </row>
    <row r="10" spans="1:24" x14ac:dyDescent="0.2">
      <c r="A10" s="9" t="s">
        <v>425</v>
      </c>
      <c r="B10" s="9">
        <v>1</v>
      </c>
      <c r="C10" s="17">
        <v>2</v>
      </c>
      <c r="D10" s="20"/>
      <c r="E10" s="18">
        <v>45180</v>
      </c>
      <c r="F10" s="18" t="s">
        <v>363</v>
      </c>
      <c r="G10" s="20" t="s">
        <v>18</v>
      </c>
      <c r="H10" s="19">
        <v>0</v>
      </c>
      <c r="I10" s="20" t="s">
        <v>8</v>
      </c>
      <c r="J10" s="20" t="s">
        <v>7</v>
      </c>
      <c r="K10" s="21" t="s">
        <v>9</v>
      </c>
      <c r="L10" s="20">
        <f t="shared" si="0"/>
        <v>687</v>
      </c>
      <c r="M10" s="4" t="str">
        <f>IF(Table3[[#This Row],[Afrondingsdatum YB]]="N/A","-",Table3[[#This Row],[Afrondingsdatum YB]]-Table3[[#This Row],[StartDatum]])</f>
        <v>-</v>
      </c>
      <c r="N10" s="4"/>
      <c r="O10">
        <f t="shared" si="2"/>
        <v>98</v>
      </c>
      <c r="P10">
        <f t="shared" si="1"/>
        <v>114</v>
      </c>
      <c r="Q10">
        <f t="shared" si="1"/>
        <v>101</v>
      </c>
      <c r="R10">
        <f t="shared" si="1"/>
        <v>116</v>
      </c>
      <c r="S10">
        <f t="shared" si="1"/>
        <v>104</v>
      </c>
      <c r="T10">
        <f t="shared" si="1"/>
        <v>46</v>
      </c>
      <c r="U10">
        <f t="shared" si="1"/>
        <v>108</v>
      </c>
      <c r="V10">
        <f t="shared" si="1"/>
        <v>97</v>
      </c>
      <c r="W10" s="5">
        <f t="shared" si="3"/>
        <v>842</v>
      </c>
      <c r="X10" s="9" t="str">
        <f t="shared" si="4"/>
        <v>r842</v>
      </c>
    </row>
    <row r="11" spans="1:24" x14ac:dyDescent="0.2">
      <c r="A11" s="9" t="s">
        <v>425</v>
      </c>
      <c r="B11" s="9">
        <v>1</v>
      </c>
      <c r="C11" s="22">
        <v>2</v>
      </c>
      <c r="D11" s="25"/>
      <c r="E11" s="23">
        <v>45180</v>
      </c>
      <c r="F11" s="23" t="s">
        <v>364</v>
      </c>
      <c r="G11" s="25" t="s">
        <v>19</v>
      </c>
      <c r="H11" s="24">
        <v>0</v>
      </c>
      <c r="I11" s="25" t="s">
        <v>8</v>
      </c>
      <c r="J11" s="25" t="s">
        <v>7</v>
      </c>
      <c r="K11" s="26" t="s">
        <v>9</v>
      </c>
      <c r="L11" s="25">
        <f t="shared" si="0"/>
        <v>733</v>
      </c>
      <c r="M11" s="4" t="str">
        <f>IF(Table3[[#This Row],[Afrondingsdatum YB]]="N/A","-",Table3[[#This Row],[Afrondingsdatum YB]]-Table3[[#This Row],[StartDatum]])</f>
        <v>-</v>
      </c>
      <c r="N11" s="4"/>
      <c r="O11">
        <f t="shared" si="2"/>
        <v>99</v>
      </c>
      <c r="P11">
        <f t="shared" si="1"/>
        <v>104</v>
      </c>
      <c r="Q11">
        <f t="shared" si="1"/>
        <v>97</v>
      </c>
      <c r="R11">
        <f t="shared" si="1"/>
        <v>114</v>
      </c>
      <c r="S11">
        <f t="shared" si="1"/>
        <v>108</v>
      </c>
      <c r="T11">
        <f t="shared" si="1"/>
        <v>101</v>
      </c>
      <c r="U11">
        <f t="shared" si="1"/>
        <v>110</v>
      </c>
      <c r="V11">
        <f>CODE(MID($G11,V$1,1))</f>
        <v>101</v>
      </c>
      <c r="W11" s="5">
        <f t="shared" si="3"/>
        <v>891</v>
      </c>
      <c r="X11" s="9" t="str">
        <f t="shared" si="4"/>
        <v>h891</v>
      </c>
    </row>
    <row r="12" spans="1:24" x14ac:dyDescent="0.2">
      <c r="A12" s="9" t="s">
        <v>425</v>
      </c>
      <c r="B12" s="9">
        <v>1</v>
      </c>
      <c r="C12" s="17">
        <v>2</v>
      </c>
      <c r="D12" s="20"/>
      <c r="E12" s="18">
        <v>45180</v>
      </c>
      <c r="F12" s="18" t="s">
        <v>364</v>
      </c>
      <c r="G12" s="20" t="s">
        <v>20</v>
      </c>
      <c r="H12" s="19">
        <v>0</v>
      </c>
      <c r="I12" s="20" t="s">
        <v>69</v>
      </c>
      <c r="J12" s="20" t="s">
        <v>7</v>
      </c>
      <c r="K12" s="21" t="s">
        <v>9</v>
      </c>
      <c r="L12" s="20">
        <f t="shared" si="0"/>
        <v>668</v>
      </c>
      <c r="M12" s="4" t="str">
        <f>IF(Table3[[#This Row],[Afrondingsdatum YB]]="N/A","-",Table3[[#This Row],[Afrondingsdatum YB]]-Table3[[#This Row],[StartDatum]])</f>
        <v>-</v>
      </c>
      <c r="N12" s="4"/>
      <c r="O12">
        <f t="shared" si="2"/>
        <v>99</v>
      </c>
      <c r="P12">
        <f t="shared" si="1"/>
        <v>104</v>
      </c>
      <c r="Q12">
        <f t="shared" si="1"/>
        <v>101</v>
      </c>
      <c r="R12">
        <f t="shared" si="1"/>
        <v>110</v>
      </c>
      <c r="S12">
        <f t="shared" si="1"/>
        <v>111</v>
      </c>
      <c r="T12">
        <f t="shared" si="1"/>
        <v>97</v>
      </c>
      <c r="U12">
        <f t="shared" si="1"/>
        <v>46</v>
      </c>
      <c r="V12">
        <f t="shared" si="1"/>
        <v>118</v>
      </c>
      <c r="W12" s="5">
        <f t="shared" si="3"/>
        <v>854</v>
      </c>
      <c r="X12" s="9" t="str">
        <f t="shared" si="4"/>
        <v>h854</v>
      </c>
    </row>
    <row r="13" spans="1:24" x14ac:dyDescent="0.2">
      <c r="A13" s="9" t="s">
        <v>425</v>
      </c>
      <c r="B13" s="9">
        <v>1</v>
      </c>
      <c r="C13" s="22">
        <v>2</v>
      </c>
      <c r="D13" s="25"/>
      <c r="E13" s="23">
        <v>45180</v>
      </c>
      <c r="F13" s="23" t="s">
        <v>364</v>
      </c>
      <c r="G13" s="25" t="s">
        <v>21</v>
      </c>
      <c r="H13" s="24">
        <v>0</v>
      </c>
      <c r="I13" s="25" t="s">
        <v>8</v>
      </c>
      <c r="J13" s="25" t="s">
        <v>7</v>
      </c>
      <c r="K13" s="26" t="s">
        <v>9</v>
      </c>
      <c r="L13" s="25">
        <f t="shared" si="0"/>
        <v>681</v>
      </c>
      <c r="M13" s="4" t="str">
        <f>IF(Table3[[#This Row],[Afrondingsdatum YB]]="N/A","-",Table3[[#This Row],[Afrondingsdatum YB]]-Table3[[#This Row],[StartDatum]])</f>
        <v>-</v>
      </c>
      <c r="N13" s="4"/>
      <c r="O13">
        <f t="shared" si="2"/>
        <v>100</v>
      </c>
      <c r="P13">
        <f t="shared" si="1"/>
        <v>97</v>
      </c>
      <c r="Q13">
        <f t="shared" si="1"/>
        <v>115</v>
      </c>
      <c r="R13">
        <f t="shared" si="1"/>
        <v>116</v>
      </c>
      <c r="S13">
        <f t="shared" si="1"/>
        <v>97</v>
      </c>
      <c r="T13">
        <f t="shared" si="1"/>
        <v>110</v>
      </c>
      <c r="U13">
        <f t="shared" si="1"/>
        <v>46</v>
      </c>
      <c r="V13">
        <f t="shared" si="1"/>
        <v>109</v>
      </c>
      <c r="W13" s="5">
        <f t="shared" si="3"/>
        <v>885</v>
      </c>
      <c r="X13" s="9" t="str">
        <f t="shared" si="4"/>
        <v>a885</v>
      </c>
    </row>
    <row r="14" spans="1:24" x14ac:dyDescent="0.2">
      <c r="A14" s="9" t="s">
        <v>425</v>
      </c>
      <c r="B14" s="9">
        <v>1</v>
      </c>
      <c r="C14" s="17">
        <v>2</v>
      </c>
      <c r="D14" s="20"/>
      <c r="E14" s="18">
        <v>45180</v>
      </c>
      <c r="F14" s="18" t="s">
        <v>363</v>
      </c>
      <c r="G14" s="20" t="s">
        <v>22</v>
      </c>
      <c r="H14" s="19">
        <v>0</v>
      </c>
      <c r="I14" s="20" t="s">
        <v>8</v>
      </c>
      <c r="J14" s="20" t="s">
        <v>7</v>
      </c>
      <c r="K14" s="21" t="s">
        <v>9</v>
      </c>
      <c r="L14" s="20">
        <f t="shared" si="0"/>
        <v>676</v>
      </c>
      <c r="M14" s="4" t="str">
        <f>IF(Table3[[#This Row],[Afrondingsdatum YB]]="N/A","-",Table3[[#This Row],[Afrondingsdatum YB]]-Table3[[#This Row],[StartDatum]])</f>
        <v>-</v>
      </c>
      <c r="N14" s="4"/>
      <c r="O14">
        <f t="shared" si="2"/>
        <v>100</v>
      </c>
      <c r="P14">
        <f t="shared" si="1"/>
        <v>101</v>
      </c>
      <c r="Q14">
        <f t="shared" si="1"/>
        <v>109</v>
      </c>
      <c r="R14">
        <f t="shared" si="1"/>
        <v>105</v>
      </c>
      <c r="S14">
        <f t="shared" si="1"/>
        <v>46</v>
      </c>
      <c r="T14">
        <f t="shared" si="1"/>
        <v>118</v>
      </c>
      <c r="U14">
        <f t="shared" si="1"/>
        <v>97</v>
      </c>
      <c r="V14">
        <f t="shared" si="1"/>
        <v>110</v>
      </c>
      <c r="W14" s="5">
        <f t="shared" si="3"/>
        <v>875</v>
      </c>
      <c r="X14" s="9" t="str">
        <f t="shared" si="4"/>
        <v>e875</v>
      </c>
    </row>
    <row r="15" spans="1:24" x14ac:dyDescent="0.2">
      <c r="A15" s="9" t="s">
        <v>425</v>
      </c>
      <c r="B15" s="9">
        <v>1</v>
      </c>
      <c r="C15" s="22">
        <v>2</v>
      </c>
      <c r="D15" s="25"/>
      <c r="E15" s="23">
        <v>45180</v>
      </c>
      <c r="F15" s="23" t="s">
        <v>363</v>
      </c>
      <c r="G15" s="25" t="s">
        <v>23</v>
      </c>
      <c r="H15" s="24">
        <v>0</v>
      </c>
      <c r="I15" s="25" t="s">
        <v>8</v>
      </c>
      <c r="J15" s="25" t="s">
        <v>7</v>
      </c>
      <c r="K15" s="26" t="s">
        <v>9</v>
      </c>
      <c r="L15" s="25">
        <f t="shared" si="0"/>
        <v>681</v>
      </c>
      <c r="M15" s="4" t="str">
        <f>IF(Table3[[#This Row],[Afrondingsdatum YB]]="N/A","-",Table3[[#This Row],[Afrondingsdatum YB]]-Table3[[#This Row],[StartDatum]])</f>
        <v>-</v>
      </c>
      <c r="N15" s="4"/>
      <c r="O15">
        <f t="shared" si="2"/>
        <v>101</v>
      </c>
      <c r="P15">
        <f t="shared" si="1"/>
        <v>108</v>
      </c>
      <c r="Q15">
        <f t="shared" si="1"/>
        <v>105</v>
      </c>
      <c r="R15">
        <f t="shared" si="1"/>
        <v>122</v>
      </c>
      <c r="S15">
        <f t="shared" si="1"/>
        <v>101</v>
      </c>
      <c r="T15">
        <f t="shared" si="1"/>
        <v>46</v>
      </c>
      <c r="U15">
        <f t="shared" si="1"/>
        <v>98</v>
      </c>
      <c r="V15">
        <f t="shared" si="1"/>
        <v>97</v>
      </c>
      <c r="W15" s="5">
        <f t="shared" si="3"/>
        <v>843</v>
      </c>
      <c r="X15" s="9" t="str">
        <f t="shared" si="4"/>
        <v>l843</v>
      </c>
    </row>
    <row r="16" spans="1:24" x14ac:dyDescent="0.2">
      <c r="A16" s="9" t="s">
        <v>425</v>
      </c>
      <c r="B16" s="9">
        <v>1</v>
      </c>
      <c r="C16" s="17">
        <v>2</v>
      </c>
      <c r="D16" s="20"/>
      <c r="E16" s="18">
        <v>45180</v>
      </c>
      <c r="F16" s="18" t="s">
        <v>363</v>
      </c>
      <c r="G16" s="20" t="s">
        <v>24</v>
      </c>
      <c r="H16" s="19">
        <v>0</v>
      </c>
      <c r="I16" s="20" t="s">
        <v>8</v>
      </c>
      <c r="J16" s="20" t="s">
        <v>7</v>
      </c>
      <c r="K16" s="21" t="s">
        <v>9</v>
      </c>
      <c r="L16" s="20">
        <f t="shared" si="0"/>
        <v>705</v>
      </c>
      <c r="M16" s="4" t="str">
        <f>IF(Table3[[#This Row],[Afrondingsdatum YB]]="N/A","-",Table3[[#This Row],[Afrondingsdatum YB]]-Table3[[#This Row],[StartDatum]])</f>
        <v>-</v>
      </c>
      <c r="N16" s="4"/>
      <c r="O16">
        <f t="shared" si="2"/>
        <v>102</v>
      </c>
      <c r="P16">
        <f t="shared" si="1"/>
        <v>105</v>
      </c>
      <c r="Q16">
        <f t="shared" si="1"/>
        <v>115</v>
      </c>
      <c r="R16">
        <f t="shared" si="1"/>
        <v>116</v>
      </c>
      <c r="S16">
        <f t="shared" si="1"/>
        <v>111</v>
      </c>
      <c r="T16">
        <f t="shared" si="1"/>
        <v>110</v>
      </c>
      <c r="U16">
        <f t="shared" si="1"/>
        <v>46</v>
      </c>
      <c r="V16">
        <f t="shared" si="1"/>
        <v>99</v>
      </c>
      <c r="W16" s="5">
        <f t="shared" si="3"/>
        <v>895</v>
      </c>
      <c r="X16" s="9" t="str">
        <f t="shared" si="4"/>
        <v>i895</v>
      </c>
    </row>
    <row r="17" spans="1:24" x14ac:dyDescent="0.2">
      <c r="A17" s="9" t="s">
        <v>425</v>
      </c>
      <c r="B17" s="9">
        <v>1</v>
      </c>
      <c r="C17" s="22">
        <v>2</v>
      </c>
      <c r="D17" s="25"/>
      <c r="E17" s="23">
        <v>45180</v>
      </c>
      <c r="F17" s="23" t="s">
        <v>362</v>
      </c>
      <c r="G17" s="39" t="s">
        <v>118</v>
      </c>
      <c r="H17" s="24">
        <v>0</v>
      </c>
      <c r="I17" s="25" t="s">
        <v>8</v>
      </c>
      <c r="J17" s="25" t="s">
        <v>7</v>
      </c>
      <c r="K17" s="26" t="s">
        <v>9</v>
      </c>
      <c r="L17" s="25">
        <f t="shared" si="0"/>
        <v>756</v>
      </c>
      <c r="M17" s="4" t="str">
        <f>IF(Table3[[#This Row],[Afrondingsdatum YB]]="N/A","-",Table3[[#This Row],[Afrondingsdatum YB]]-Table3[[#This Row],[StartDatum]])</f>
        <v>-</v>
      </c>
      <c r="N17" s="4"/>
      <c r="O17">
        <f t="shared" si="2"/>
        <v>103</v>
      </c>
      <c r="P17">
        <f t="shared" si="1"/>
        <v>101</v>
      </c>
      <c r="Q17">
        <f t="shared" si="1"/>
        <v>110</v>
      </c>
      <c r="R17">
        <f t="shared" si="1"/>
        <v>116</v>
      </c>
      <c r="S17">
        <f t="shared" si="1"/>
        <v>97</v>
      </c>
      <c r="T17">
        <f t="shared" si="1"/>
        <v>108</v>
      </c>
      <c r="U17">
        <f t="shared" si="1"/>
        <v>121</v>
      </c>
      <c r="V17">
        <f t="shared" si="1"/>
        <v>46</v>
      </c>
      <c r="W17" s="5">
        <f t="shared" si="3"/>
        <v>885</v>
      </c>
      <c r="X17" s="9" t="str">
        <f t="shared" si="4"/>
        <v>e885</v>
      </c>
    </row>
    <row r="18" spans="1:24" x14ac:dyDescent="0.2">
      <c r="A18" s="9" t="s">
        <v>425</v>
      </c>
      <c r="B18" s="9">
        <v>1</v>
      </c>
      <c r="C18" s="17">
        <v>2</v>
      </c>
      <c r="D18" s="20"/>
      <c r="E18" s="18">
        <v>45180</v>
      </c>
      <c r="F18" s="18" t="s">
        <v>362</v>
      </c>
      <c r="G18" s="20" t="s">
        <v>25</v>
      </c>
      <c r="H18" s="19">
        <v>0</v>
      </c>
      <c r="I18" s="20" t="s">
        <v>8</v>
      </c>
      <c r="J18" s="20" t="s">
        <v>7</v>
      </c>
      <c r="K18" s="21" t="s">
        <v>9</v>
      </c>
      <c r="L18" s="20">
        <f t="shared" si="0"/>
        <v>690</v>
      </c>
      <c r="M18" s="4" t="str">
        <f>IF(Table3[[#This Row],[Afrondingsdatum YB]]="N/A","-",Table3[[#This Row],[Afrondingsdatum YB]]-Table3[[#This Row],[StartDatum]])</f>
        <v>-</v>
      </c>
      <c r="N18" s="4"/>
      <c r="O18">
        <f t="shared" si="2"/>
        <v>103</v>
      </c>
      <c r="P18">
        <f t="shared" si="2"/>
        <v>108</v>
      </c>
      <c r="Q18">
        <f t="shared" si="2"/>
        <v>105</v>
      </c>
      <c r="R18">
        <f t="shared" si="2"/>
        <v>103</v>
      </c>
      <c r="S18">
        <f t="shared" si="2"/>
        <v>111</v>
      </c>
      <c r="T18">
        <f t="shared" si="2"/>
        <v>114</v>
      </c>
      <c r="U18">
        <f t="shared" si="2"/>
        <v>46</v>
      </c>
      <c r="V18">
        <f t="shared" si="2"/>
        <v>106</v>
      </c>
      <c r="W18" s="5">
        <f t="shared" si="3"/>
        <v>875</v>
      </c>
      <c r="X18" s="9" t="str">
        <f t="shared" si="4"/>
        <v>l875</v>
      </c>
    </row>
    <row r="19" spans="1:24" x14ac:dyDescent="0.2">
      <c r="A19" s="9" t="s">
        <v>425</v>
      </c>
      <c r="B19" s="9">
        <v>1</v>
      </c>
      <c r="C19" s="22">
        <v>2</v>
      </c>
      <c r="D19" s="25"/>
      <c r="E19" s="23">
        <v>45180</v>
      </c>
      <c r="F19" s="23" t="s">
        <v>363</v>
      </c>
      <c r="G19" s="25" t="s">
        <v>26</v>
      </c>
      <c r="H19" s="24">
        <v>0</v>
      </c>
      <c r="I19" s="25" t="s">
        <v>8</v>
      </c>
      <c r="J19" s="25" t="s">
        <v>7</v>
      </c>
      <c r="K19" s="26" t="s">
        <v>9</v>
      </c>
      <c r="L19" s="25">
        <f t="shared" si="0"/>
        <v>690</v>
      </c>
      <c r="M19" s="4" t="str">
        <f>IF(Table3[[#This Row],[Afrondingsdatum YB]]="N/A","-",Table3[[#This Row],[Afrondingsdatum YB]]-Table3[[#This Row],[StartDatum]])</f>
        <v>-</v>
      </c>
      <c r="N19" s="4"/>
      <c r="O19">
        <f t="shared" si="2"/>
        <v>104</v>
      </c>
      <c r="P19">
        <f t="shared" si="2"/>
        <v>97</v>
      </c>
      <c r="Q19">
        <f t="shared" si="2"/>
        <v>122</v>
      </c>
      <c r="R19">
        <f t="shared" si="2"/>
        <v>101</v>
      </c>
      <c r="S19">
        <f t="shared" si="2"/>
        <v>109</v>
      </c>
      <c r="T19">
        <f t="shared" si="2"/>
        <v>46</v>
      </c>
      <c r="U19">
        <f t="shared" si="2"/>
        <v>111</v>
      </c>
      <c r="V19">
        <f t="shared" si="2"/>
        <v>110</v>
      </c>
      <c r="W19" s="5">
        <f t="shared" si="3"/>
        <v>920</v>
      </c>
      <c r="X19" s="9" t="str">
        <f t="shared" si="4"/>
        <v>a920</v>
      </c>
    </row>
    <row r="20" spans="1:24" x14ac:dyDescent="0.2">
      <c r="A20" s="9" t="s">
        <v>425</v>
      </c>
      <c r="B20" s="9">
        <v>1</v>
      </c>
      <c r="C20" s="17">
        <v>2</v>
      </c>
      <c r="D20" s="20"/>
      <c r="E20" s="18">
        <v>45180</v>
      </c>
      <c r="F20" s="18" t="s">
        <v>364</v>
      </c>
      <c r="G20" s="20" t="s">
        <v>27</v>
      </c>
      <c r="H20" s="19">
        <v>0</v>
      </c>
      <c r="I20" s="20" t="s">
        <v>8</v>
      </c>
      <c r="J20" s="20" t="s">
        <v>7</v>
      </c>
      <c r="K20" s="21" t="s">
        <v>9</v>
      </c>
      <c r="L20" s="20">
        <f t="shared" si="0"/>
        <v>734</v>
      </c>
      <c r="M20" s="4" t="str">
        <f>IF(Table3[[#This Row],[Afrondingsdatum YB]]="N/A","-",Table3[[#This Row],[Afrondingsdatum YB]]-Table3[[#This Row],[StartDatum]])</f>
        <v>-</v>
      </c>
      <c r="N20" s="4"/>
      <c r="O20">
        <f t="shared" si="2"/>
        <v>104</v>
      </c>
      <c r="P20">
        <f t="shared" si="2"/>
        <v>101</v>
      </c>
      <c r="Q20">
        <f t="shared" si="2"/>
        <v>114</v>
      </c>
      <c r="R20">
        <f t="shared" si="2"/>
        <v>109</v>
      </c>
      <c r="S20">
        <f t="shared" si="2"/>
        <v>101</v>
      </c>
      <c r="T20">
        <f t="shared" si="2"/>
        <v>108</v>
      </c>
      <c r="U20">
        <f t="shared" si="2"/>
        <v>97</v>
      </c>
      <c r="V20">
        <f t="shared" si="2"/>
        <v>46</v>
      </c>
      <c r="W20" s="5">
        <f t="shared" si="3"/>
        <v>876</v>
      </c>
      <c r="X20" s="9" t="str">
        <f t="shared" si="4"/>
        <v>e876</v>
      </c>
    </row>
    <row r="21" spans="1:24" x14ac:dyDescent="0.2">
      <c r="A21" s="9" t="s">
        <v>425</v>
      </c>
      <c r="B21" s="9">
        <v>1</v>
      </c>
      <c r="C21" s="22">
        <v>2</v>
      </c>
      <c r="D21" s="25"/>
      <c r="E21" s="23">
        <v>45180</v>
      </c>
      <c r="F21" s="23" t="s">
        <v>364</v>
      </c>
      <c r="G21" s="25" t="s">
        <v>28</v>
      </c>
      <c r="H21" s="24">
        <v>0</v>
      </c>
      <c r="I21" s="25" t="s">
        <v>8</v>
      </c>
      <c r="J21" s="25" t="s">
        <v>7</v>
      </c>
      <c r="K21" s="26" t="s">
        <v>9</v>
      </c>
      <c r="L21" s="25">
        <f t="shared" si="0"/>
        <v>665</v>
      </c>
      <c r="M21" s="4" t="str">
        <f>IF(Table3[[#This Row],[Afrondingsdatum YB]]="N/A","-",Table3[[#This Row],[Afrondingsdatum YB]]-Table3[[#This Row],[StartDatum]])</f>
        <v>-</v>
      </c>
      <c r="N21" s="4"/>
      <c r="O21">
        <f t="shared" si="2"/>
        <v>104</v>
      </c>
      <c r="P21">
        <f t="shared" si="2"/>
        <v>117</v>
      </c>
      <c r="Q21">
        <f t="shared" si="2"/>
        <v>105</v>
      </c>
      <c r="R21">
        <f t="shared" si="2"/>
        <v>98</v>
      </c>
      <c r="S21">
        <f t="shared" si="2"/>
        <v>46</v>
      </c>
      <c r="T21">
        <f t="shared" si="2"/>
        <v>98</v>
      </c>
      <c r="U21">
        <f t="shared" si="2"/>
        <v>97</v>
      </c>
      <c r="V21">
        <f t="shared" si="2"/>
        <v>107</v>
      </c>
      <c r="W21" s="5">
        <f t="shared" si="3"/>
        <v>850</v>
      </c>
      <c r="X21" s="9" t="str">
        <f t="shared" si="4"/>
        <v>u850</v>
      </c>
    </row>
    <row r="22" spans="1:24" x14ac:dyDescent="0.2">
      <c r="A22" s="9" t="s">
        <v>425</v>
      </c>
      <c r="B22" s="9">
        <v>1</v>
      </c>
      <c r="C22" s="17">
        <v>2</v>
      </c>
      <c r="D22" s="20"/>
      <c r="E22" s="18">
        <v>45180</v>
      </c>
      <c r="F22" s="18" t="s">
        <v>363</v>
      </c>
      <c r="G22" s="20" t="s">
        <v>29</v>
      </c>
      <c r="H22" s="19">
        <v>0</v>
      </c>
      <c r="I22" s="20" t="s">
        <v>8</v>
      </c>
      <c r="J22" s="20" t="s">
        <v>7</v>
      </c>
      <c r="K22" s="21" t="s">
        <v>9</v>
      </c>
      <c r="L22" s="20">
        <f t="shared" si="0"/>
        <v>682</v>
      </c>
      <c r="M22" s="4" t="str">
        <f>IF(Table3[[#This Row],[Afrondingsdatum YB]]="N/A","-",Table3[[#This Row],[Afrondingsdatum YB]]-Table3[[#This Row],[StartDatum]])</f>
        <v>-</v>
      </c>
      <c r="N22" s="4"/>
      <c r="O22">
        <f t="shared" si="2"/>
        <v>105</v>
      </c>
      <c r="P22">
        <f t="shared" si="2"/>
        <v>107</v>
      </c>
      <c r="Q22">
        <f t="shared" si="2"/>
        <v>104</v>
      </c>
      <c r="R22">
        <f t="shared" si="2"/>
        <v>108</v>
      </c>
      <c r="S22">
        <f t="shared" si="2"/>
        <v>97</v>
      </c>
      <c r="T22">
        <f t="shared" si="2"/>
        <v>115</v>
      </c>
      <c r="U22">
        <f t="shared" si="2"/>
        <v>46</v>
      </c>
      <c r="V22">
        <f t="shared" si="2"/>
        <v>98</v>
      </c>
      <c r="W22" s="5">
        <f t="shared" si="3"/>
        <v>854</v>
      </c>
      <c r="X22" s="9" t="str">
        <f t="shared" si="4"/>
        <v>k854</v>
      </c>
    </row>
    <row r="23" spans="1:24" x14ac:dyDescent="0.2">
      <c r="A23" s="9" t="s">
        <v>425</v>
      </c>
      <c r="B23" s="9">
        <v>1</v>
      </c>
      <c r="C23" s="22">
        <v>2</v>
      </c>
      <c r="D23" s="25"/>
      <c r="E23" s="23">
        <v>45180</v>
      </c>
      <c r="F23" s="23" t="s">
        <v>363</v>
      </c>
      <c r="G23" s="25" t="s">
        <v>30</v>
      </c>
      <c r="H23" s="24">
        <v>0</v>
      </c>
      <c r="I23" s="25" t="s">
        <v>8</v>
      </c>
      <c r="J23" s="25" t="s">
        <v>7</v>
      </c>
      <c r="K23" s="26" t="s">
        <v>9</v>
      </c>
      <c r="L23" s="25">
        <f t="shared" si="0"/>
        <v>701</v>
      </c>
      <c r="M23" s="4" t="str">
        <f>IF(Table3[[#This Row],[Afrondingsdatum YB]]="N/A","-",Table3[[#This Row],[Afrondingsdatum YB]]-Table3[[#This Row],[StartDatum]])</f>
        <v>-</v>
      </c>
      <c r="N23" s="4"/>
      <c r="O23">
        <f t="shared" si="2"/>
        <v>105</v>
      </c>
      <c r="P23">
        <f t="shared" si="2"/>
        <v>108</v>
      </c>
      <c r="Q23">
        <f t="shared" si="2"/>
        <v>107</v>
      </c>
      <c r="R23">
        <f t="shared" si="2"/>
        <v>97</v>
      </c>
      <c r="S23">
        <f t="shared" si="2"/>
        <v>121</v>
      </c>
      <c r="T23">
        <f t="shared" si="2"/>
        <v>46</v>
      </c>
      <c r="U23">
        <f t="shared" si="2"/>
        <v>117</v>
      </c>
      <c r="V23">
        <f t="shared" si="2"/>
        <v>121</v>
      </c>
      <c r="W23" s="5">
        <f t="shared" si="3"/>
        <v>909</v>
      </c>
      <c r="X23" s="9" t="str">
        <f t="shared" si="4"/>
        <v>l909</v>
      </c>
    </row>
    <row r="24" spans="1:24" x14ac:dyDescent="0.2">
      <c r="A24" s="9" t="s">
        <v>425</v>
      </c>
      <c r="B24" s="9">
        <v>1</v>
      </c>
      <c r="C24" s="17">
        <v>2</v>
      </c>
      <c r="D24" s="20"/>
      <c r="E24" s="18">
        <v>45180</v>
      </c>
      <c r="F24" s="18" t="s">
        <v>364</v>
      </c>
      <c r="G24" s="20" t="s">
        <v>31</v>
      </c>
      <c r="H24" s="19">
        <v>0</v>
      </c>
      <c r="I24" s="20" t="s">
        <v>8</v>
      </c>
      <c r="J24" s="20" t="s">
        <v>7</v>
      </c>
      <c r="K24" s="21" t="s">
        <v>9</v>
      </c>
      <c r="L24" s="20">
        <f t="shared" si="0"/>
        <v>661</v>
      </c>
      <c r="M24" s="4" t="str">
        <f>IF(Table3[[#This Row],[Afrondingsdatum YB]]="N/A","-",Table3[[#This Row],[Afrondingsdatum YB]]-Table3[[#This Row],[StartDatum]])</f>
        <v>-</v>
      </c>
      <c r="N24" s="4"/>
      <c r="O24">
        <f t="shared" si="2"/>
        <v>106</v>
      </c>
      <c r="P24">
        <f t="shared" si="2"/>
        <v>97</v>
      </c>
      <c r="Q24">
        <f t="shared" si="2"/>
        <v>109</v>
      </c>
      <c r="R24">
        <f t="shared" si="2"/>
        <v>97</v>
      </c>
      <c r="S24">
        <f t="shared" si="2"/>
        <v>108</v>
      </c>
      <c r="T24">
        <f t="shared" si="2"/>
        <v>46</v>
      </c>
      <c r="U24">
        <f t="shared" si="2"/>
        <v>98</v>
      </c>
      <c r="V24">
        <f t="shared" si="2"/>
        <v>97</v>
      </c>
      <c r="W24" s="5">
        <f t="shared" si="3"/>
        <v>855</v>
      </c>
      <c r="X24" s="9" t="str">
        <f t="shared" si="4"/>
        <v>a855</v>
      </c>
    </row>
    <row r="25" spans="1:24" x14ac:dyDescent="0.2">
      <c r="A25" s="9" t="s">
        <v>425</v>
      </c>
      <c r="B25" s="9">
        <v>1</v>
      </c>
      <c r="C25" s="22">
        <v>2</v>
      </c>
      <c r="D25" s="25"/>
      <c r="E25" s="23">
        <v>45180</v>
      </c>
      <c r="F25" s="23" t="s">
        <v>363</v>
      </c>
      <c r="G25" s="25" t="s">
        <v>32</v>
      </c>
      <c r="H25" s="24">
        <v>0</v>
      </c>
      <c r="I25" s="25" t="s">
        <v>8</v>
      </c>
      <c r="J25" s="25" t="s">
        <v>7</v>
      </c>
      <c r="K25" s="26" t="s">
        <v>9</v>
      </c>
      <c r="L25" s="25">
        <f t="shared" si="0"/>
        <v>698</v>
      </c>
      <c r="M25" s="4" t="str">
        <f>IF(Table3[[#This Row],[Afrondingsdatum YB]]="N/A","-",Table3[[#This Row],[Afrondingsdatum YB]]-Table3[[#This Row],[StartDatum]])</f>
        <v>-</v>
      </c>
      <c r="N25" s="4"/>
      <c r="O25">
        <f t="shared" si="2"/>
        <v>106</v>
      </c>
      <c r="P25">
        <f t="shared" si="2"/>
        <v>97</v>
      </c>
      <c r="Q25">
        <f t="shared" si="2"/>
        <v>114</v>
      </c>
      <c r="R25">
        <f t="shared" si="2"/>
        <v>114</v>
      </c>
      <c r="S25">
        <f t="shared" si="2"/>
        <v>111</v>
      </c>
      <c r="T25">
        <f t="shared" si="2"/>
        <v>110</v>
      </c>
      <c r="U25">
        <f t="shared" si="2"/>
        <v>46</v>
      </c>
      <c r="V25">
        <f t="shared" si="2"/>
        <v>118</v>
      </c>
      <c r="W25" s="5">
        <f t="shared" si="3"/>
        <v>910</v>
      </c>
      <c r="X25" s="9" t="str">
        <f t="shared" si="4"/>
        <v>a910</v>
      </c>
    </row>
    <row r="26" spans="1:24" x14ac:dyDescent="0.2">
      <c r="A26" s="9" t="s">
        <v>425</v>
      </c>
      <c r="B26" s="9">
        <v>1</v>
      </c>
      <c r="C26" s="17">
        <v>2</v>
      </c>
      <c r="D26" s="20"/>
      <c r="E26" s="18">
        <v>45180</v>
      </c>
      <c r="F26" s="18" t="s">
        <v>362</v>
      </c>
      <c r="G26" s="20" t="s">
        <v>33</v>
      </c>
      <c r="H26" s="19">
        <v>0</v>
      </c>
      <c r="I26" s="20" t="s">
        <v>8</v>
      </c>
      <c r="J26" s="20" t="s">
        <v>7</v>
      </c>
      <c r="K26" s="21" t="s">
        <v>9</v>
      </c>
      <c r="L26" s="20">
        <f t="shared" si="0"/>
        <v>707</v>
      </c>
      <c r="M26" s="4" t="str">
        <f>IF(Table3[[#This Row],[Afrondingsdatum YB]]="N/A","-",Table3[[#This Row],[Afrondingsdatum YB]]-Table3[[#This Row],[StartDatum]])</f>
        <v>-</v>
      </c>
      <c r="N26" s="4"/>
      <c r="O26">
        <f t="shared" si="2"/>
        <v>106</v>
      </c>
      <c r="P26">
        <f t="shared" si="2"/>
        <v>101</v>
      </c>
      <c r="Q26">
        <f t="shared" si="2"/>
        <v>118</v>
      </c>
      <c r="R26">
        <f t="shared" si="2"/>
        <v>111</v>
      </c>
      <c r="S26">
        <f t="shared" si="2"/>
        <v>110</v>
      </c>
      <c r="T26">
        <f t="shared" si="2"/>
        <v>46</v>
      </c>
      <c r="U26">
        <f t="shared" si="2"/>
        <v>115</v>
      </c>
      <c r="V26">
        <f t="shared" si="2"/>
        <v>109</v>
      </c>
      <c r="W26" s="5">
        <f t="shared" si="3"/>
        <v>918</v>
      </c>
      <c r="X26" s="9" t="str">
        <f t="shared" si="4"/>
        <v>e918</v>
      </c>
    </row>
    <row r="27" spans="1:24" x14ac:dyDescent="0.2">
      <c r="A27" s="9" t="s">
        <v>425</v>
      </c>
      <c r="B27" s="9">
        <v>1</v>
      </c>
      <c r="C27" s="22">
        <v>2</v>
      </c>
      <c r="D27" s="25"/>
      <c r="E27" s="23">
        <v>45180</v>
      </c>
      <c r="F27" s="23" t="s">
        <v>362</v>
      </c>
      <c r="G27" s="25" t="s">
        <v>34</v>
      </c>
      <c r="H27" s="24">
        <v>0</v>
      </c>
      <c r="I27" s="25" t="s">
        <v>8</v>
      </c>
      <c r="J27" s="25" t="s">
        <v>7</v>
      </c>
      <c r="K27" s="26" t="s">
        <v>9</v>
      </c>
      <c r="L27" s="25">
        <f t="shared" si="0"/>
        <v>676</v>
      </c>
      <c r="M27" s="4" t="str">
        <f>IF(Table3[[#This Row],[Afrondingsdatum YB]]="N/A","-",Table3[[#This Row],[Afrondingsdatum YB]]-Table3[[#This Row],[StartDatum]])</f>
        <v>-</v>
      </c>
      <c r="N27" s="4"/>
      <c r="O27">
        <f t="shared" si="2"/>
        <v>106</v>
      </c>
      <c r="P27">
        <f t="shared" si="2"/>
        <v>111</v>
      </c>
      <c r="Q27">
        <f t="shared" si="2"/>
        <v>99</v>
      </c>
      <c r="R27">
        <f t="shared" si="2"/>
        <v>104</v>
      </c>
      <c r="S27">
        <f t="shared" si="2"/>
        <v>101</v>
      </c>
      <c r="T27">
        <f t="shared" si="2"/>
        <v>109</v>
      </c>
      <c r="U27">
        <f t="shared" si="2"/>
        <v>46</v>
      </c>
      <c r="V27">
        <f t="shared" si="2"/>
        <v>104</v>
      </c>
      <c r="W27" s="5">
        <f t="shared" si="3"/>
        <v>845</v>
      </c>
      <c r="X27" s="9" t="str">
        <f t="shared" si="4"/>
        <v>o845</v>
      </c>
    </row>
    <row r="28" spans="1:24" x14ac:dyDescent="0.2">
      <c r="A28" s="9" t="s">
        <v>425</v>
      </c>
      <c r="B28" s="9">
        <v>1</v>
      </c>
      <c r="C28" s="17">
        <v>2</v>
      </c>
      <c r="D28" s="20"/>
      <c r="E28" s="18">
        <v>45180</v>
      </c>
      <c r="F28" s="18" t="s">
        <v>362</v>
      </c>
      <c r="G28" s="20" t="s">
        <v>35</v>
      </c>
      <c r="H28" s="19">
        <v>0</v>
      </c>
      <c r="I28" s="20" t="s">
        <v>8</v>
      </c>
      <c r="J28" s="20" t="s">
        <v>7</v>
      </c>
      <c r="K28" s="21" t="s">
        <v>9</v>
      </c>
      <c r="L28" s="20">
        <f t="shared" si="0"/>
        <v>704</v>
      </c>
      <c r="M28" s="4" t="str">
        <f>IF(Table3[[#This Row],[Afrondingsdatum YB]]="N/A","-",Table3[[#This Row],[Afrondingsdatum YB]]-Table3[[#This Row],[StartDatum]])</f>
        <v>-</v>
      </c>
      <c r="N28" s="4"/>
      <c r="O28">
        <f t="shared" si="2"/>
        <v>106</v>
      </c>
      <c r="P28">
        <f t="shared" si="2"/>
        <v>111</v>
      </c>
      <c r="Q28">
        <f t="shared" si="2"/>
        <v>114</v>
      </c>
      <c r="R28">
        <f t="shared" si="2"/>
        <v>105</v>
      </c>
      <c r="S28">
        <f t="shared" si="2"/>
        <v>115</v>
      </c>
      <c r="T28">
        <f t="shared" si="2"/>
        <v>46</v>
      </c>
      <c r="U28">
        <f t="shared" si="2"/>
        <v>107</v>
      </c>
      <c r="V28">
        <f t="shared" si="2"/>
        <v>111</v>
      </c>
      <c r="W28" s="5">
        <f t="shared" si="3"/>
        <v>909</v>
      </c>
      <c r="X28" s="9" t="str">
        <f t="shared" si="4"/>
        <v>o909</v>
      </c>
    </row>
    <row r="29" spans="1:24" x14ac:dyDescent="0.2">
      <c r="A29" s="9" t="s">
        <v>425</v>
      </c>
      <c r="B29" s="9">
        <v>1</v>
      </c>
      <c r="C29" s="22">
        <v>2</v>
      </c>
      <c r="D29" s="25"/>
      <c r="E29" s="23">
        <v>45180</v>
      </c>
      <c r="F29" s="23" t="s">
        <v>364</v>
      </c>
      <c r="G29" s="25" t="s">
        <v>36</v>
      </c>
      <c r="H29" s="24">
        <v>0</v>
      </c>
      <c r="I29" s="25" t="s">
        <v>8</v>
      </c>
      <c r="J29" s="25" t="s">
        <v>7</v>
      </c>
      <c r="K29" s="26" t="s">
        <v>9</v>
      </c>
      <c r="L29" s="25">
        <f t="shared" si="0"/>
        <v>657</v>
      </c>
      <c r="M29" s="4" t="str">
        <f>IF(Table3[[#This Row],[Afrondingsdatum YB]]="N/A","-",Table3[[#This Row],[Afrondingsdatum YB]]-Table3[[#This Row],[StartDatum]])</f>
        <v>-</v>
      </c>
      <c r="N29" s="4"/>
      <c r="O29">
        <f t="shared" si="2"/>
        <v>74</v>
      </c>
      <c r="P29">
        <f t="shared" si="2"/>
        <v>117</v>
      </c>
      <c r="Q29">
        <f t="shared" si="2"/>
        <v>108</v>
      </c>
      <c r="R29">
        <f t="shared" si="2"/>
        <v>105</v>
      </c>
      <c r="S29">
        <f t="shared" si="2"/>
        <v>97</v>
      </c>
      <c r="T29">
        <f t="shared" si="2"/>
        <v>110</v>
      </c>
      <c r="U29">
        <f t="shared" si="2"/>
        <v>46</v>
      </c>
      <c r="V29">
        <f t="shared" si="2"/>
        <v>68</v>
      </c>
      <c r="W29" s="5">
        <f t="shared" si="3"/>
        <v>804</v>
      </c>
      <c r="X29" s="9" t="str">
        <f t="shared" si="4"/>
        <v>u804</v>
      </c>
    </row>
    <row r="30" spans="1:24" x14ac:dyDescent="0.2">
      <c r="A30" s="9" t="s">
        <v>425</v>
      </c>
      <c r="B30" s="9">
        <v>1</v>
      </c>
      <c r="C30" s="17">
        <v>2</v>
      </c>
      <c r="D30" s="20"/>
      <c r="E30" s="18">
        <v>45180</v>
      </c>
      <c r="F30" s="18" t="s">
        <v>363</v>
      </c>
      <c r="G30" s="20" t="s">
        <v>37</v>
      </c>
      <c r="H30" s="19">
        <v>0</v>
      </c>
      <c r="I30" s="20" t="s">
        <v>8</v>
      </c>
      <c r="J30" s="20" t="s">
        <v>7</v>
      </c>
      <c r="K30" s="21" t="s">
        <v>9</v>
      </c>
      <c r="L30" s="20">
        <f t="shared" si="0"/>
        <v>689</v>
      </c>
      <c r="M30" s="4" t="str">
        <f>IF(Table3[[#This Row],[Afrondingsdatum YB]]="N/A","-",Table3[[#This Row],[Afrondingsdatum YB]]-Table3[[#This Row],[StartDatum]])</f>
        <v>-</v>
      </c>
      <c r="N30" s="4"/>
      <c r="O30">
        <f t="shared" si="2"/>
        <v>106</v>
      </c>
      <c r="P30">
        <f t="shared" si="2"/>
        <v>117</v>
      </c>
      <c r="Q30">
        <f t="shared" si="2"/>
        <v>108</v>
      </c>
      <c r="R30">
        <f t="shared" si="2"/>
        <v>105</v>
      </c>
      <c r="S30">
        <f t="shared" si="2"/>
        <v>97</v>
      </c>
      <c r="T30">
        <f t="shared" si="2"/>
        <v>110</v>
      </c>
      <c r="U30">
        <f t="shared" si="2"/>
        <v>46</v>
      </c>
      <c r="V30">
        <f t="shared" si="2"/>
        <v>118</v>
      </c>
      <c r="W30" s="5">
        <f t="shared" si="3"/>
        <v>886</v>
      </c>
      <c r="X30" s="9" t="str">
        <f t="shared" si="4"/>
        <v>u886</v>
      </c>
    </row>
    <row r="31" spans="1:24" x14ac:dyDescent="0.2">
      <c r="A31" s="9" t="s">
        <v>425</v>
      </c>
      <c r="B31" s="9">
        <v>1</v>
      </c>
      <c r="C31" s="22">
        <v>2</v>
      </c>
      <c r="D31" s="25"/>
      <c r="E31" s="23">
        <v>45180</v>
      </c>
      <c r="F31" s="23" t="s">
        <v>363</v>
      </c>
      <c r="G31" s="25" t="s">
        <v>38</v>
      </c>
      <c r="H31" s="24">
        <v>0</v>
      </c>
      <c r="I31" s="25" t="s">
        <v>8</v>
      </c>
      <c r="J31" s="25" t="s">
        <v>7</v>
      </c>
      <c r="K31" s="26" t="s">
        <v>9</v>
      </c>
      <c r="L31" s="25">
        <f t="shared" si="0"/>
        <v>671</v>
      </c>
      <c r="M31" s="4" t="str">
        <f>IF(Table3[[#This Row],[Afrondingsdatum YB]]="N/A","-",Table3[[#This Row],[Afrondingsdatum YB]]-Table3[[#This Row],[StartDatum]])</f>
        <v>-</v>
      </c>
      <c r="N31" s="4"/>
      <c r="O31">
        <f t="shared" si="2"/>
        <v>107</v>
      </c>
      <c r="P31">
        <f t="shared" si="2"/>
        <v>97</v>
      </c>
      <c r="Q31">
        <f t="shared" si="2"/>
        <v>105</v>
      </c>
      <c r="R31">
        <f t="shared" si="2"/>
        <v>46</v>
      </c>
      <c r="S31">
        <f t="shared" si="2"/>
        <v>104</v>
      </c>
      <c r="T31">
        <f t="shared" si="2"/>
        <v>97</v>
      </c>
      <c r="U31">
        <f t="shared" si="2"/>
        <v>115</v>
      </c>
      <c r="V31">
        <f t="shared" si="2"/>
        <v>115</v>
      </c>
      <c r="W31" s="5">
        <f t="shared" si="3"/>
        <v>913</v>
      </c>
      <c r="X31" s="9" t="str">
        <f t="shared" si="4"/>
        <v>a913</v>
      </c>
    </row>
    <row r="32" spans="1:24" x14ac:dyDescent="0.2">
      <c r="A32" s="9" t="s">
        <v>425</v>
      </c>
      <c r="B32" s="9">
        <v>1</v>
      </c>
      <c r="C32" s="17">
        <v>2</v>
      </c>
      <c r="D32" s="20"/>
      <c r="E32" s="18">
        <v>45180</v>
      </c>
      <c r="F32" s="18" t="s">
        <v>362</v>
      </c>
      <c r="G32" s="20" t="s">
        <v>39</v>
      </c>
      <c r="H32" s="19">
        <v>0</v>
      </c>
      <c r="I32" s="20" t="s">
        <v>8</v>
      </c>
      <c r="J32" s="20" t="s">
        <v>7</v>
      </c>
      <c r="K32" s="21" t="s">
        <v>9</v>
      </c>
      <c r="L32" s="20">
        <f t="shared" si="0"/>
        <v>673</v>
      </c>
      <c r="M32" s="4" t="str">
        <f>IF(Table3[[#This Row],[Afrondingsdatum YB]]="N/A","-",Table3[[#This Row],[Afrondingsdatum YB]]-Table3[[#This Row],[StartDatum]])</f>
        <v>-</v>
      </c>
      <c r="N32" s="4"/>
      <c r="O32">
        <f t="shared" si="2"/>
        <v>107</v>
      </c>
      <c r="P32">
        <f t="shared" si="2"/>
        <v>101</v>
      </c>
      <c r="Q32">
        <f t="shared" si="2"/>
        <v>110</v>
      </c>
      <c r="R32">
        <f t="shared" si="2"/>
        <v>97</v>
      </c>
      <c r="S32">
        <f t="shared" si="2"/>
        <v>110</v>
      </c>
      <c r="T32">
        <f t="shared" si="2"/>
        <v>46</v>
      </c>
      <c r="U32">
        <f t="shared" si="2"/>
        <v>102</v>
      </c>
      <c r="V32">
        <f t="shared" si="2"/>
        <v>108</v>
      </c>
      <c r="W32" s="5">
        <f t="shared" si="3"/>
        <v>878</v>
      </c>
      <c r="X32" s="9" t="str">
        <f t="shared" si="4"/>
        <v>e878</v>
      </c>
    </row>
    <row r="33" spans="1:24" x14ac:dyDescent="0.2">
      <c r="A33" s="9" t="s">
        <v>425</v>
      </c>
      <c r="B33" s="9">
        <v>1</v>
      </c>
      <c r="C33" s="22">
        <v>2</v>
      </c>
      <c r="D33" s="25"/>
      <c r="E33" s="23">
        <v>45180</v>
      </c>
      <c r="F33" s="23" t="s">
        <v>363</v>
      </c>
      <c r="G33" s="25" t="s">
        <v>40</v>
      </c>
      <c r="H33" s="24">
        <v>0</v>
      </c>
      <c r="I33" s="25" t="s">
        <v>8</v>
      </c>
      <c r="J33" s="25" t="s">
        <v>7</v>
      </c>
      <c r="K33" s="26" t="s">
        <v>9</v>
      </c>
      <c r="L33" s="25">
        <f t="shared" si="0"/>
        <v>685</v>
      </c>
      <c r="M33" s="4" t="str">
        <f>IF(Table3[[#This Row],[Afrondingsdatum YB]]="N/A","-",Table3[[#This Row],[Afrondingsdatum YB]]-Table3[[#This Row],[StartDatum]])</f>
        <v>-</v>
      </c>
      <c r="N33" s="4"/>
      <c r="O33">
        <f t="shared" si="2"/>
        <v>107</v>
      </c>
      <c r="P33">
        <f t="shared" si="2"/>
        <v>101</v>
      </c>
      <c r="Q33">
        <f t="shared" si="2"/>
        <v>118</v>
      </c>
      <c r="R33">
        <f t="shared" si="2"/>
        <v>105</v>
      </c>
      <c r="S33">
        <f t="shared" si="2"/>
        <v>110</v>
      </c>
      <c r="T33">
        <f t="shared" si="2"/>
        <v>46</v>
      </c>
      <c r="U33">
        <f t="shared" si="2"/>
        <v>98</v>
      </c>
      <c r="V33">
        <f t="shared" si="2"/>
        <v>97</v>
      </c>
      <c r="W33" s="5">
        <f t="shared" si="3"/>
        <v>889</v>
      </c>
      <c r="X33" s="9" t="str">
        <f t="shared" si="4"/>
        <v>e889</v>
      </c>
    </row>
    <row r="34" spans="1:24" x14ac:dyDescent="0.2">
      <c r="A34" s="9" t="s">
        <v>425</v>
      </c>
      <c r="B34" s="9">
        <v>1</v>
      </c>
      <c r="C34" s="17">
        <v>2</v>
      </c>
      <c r="D34" s="20"/>
      <c r="E34" s="18">
        <v>45180</v>
      </c>
      <c r="F34" s="18" t="s">
        <v>363</v>
      </c>
      <c r="G34" s="20" t="s">
        <v>41</v>
      </c>
      <c r="H34" s="19">
        <v>0</v>
      </c>
      <c r="I34" s="20" t="s">
        <v>8</v>
      </c>
      <c r="J34" s="20" t="s">
        <v>7</v>
      </c>
      <c r="K34" s="21" t="s">
        <v>9</v>
      </c>
      <c r="L34" s="20">
        <f t="shared" si="0"/>
        <v>694</v>
      </c>
      <c r="M34" s="4" t="str">
        <f>IF(Table3[[#This Row],[Afrondingsdatum YB]]="N/A","-",Table3[[#This Row],[Afrondingsdatum YB]]-Table3[[#This Row],[StartDatum]])</f>
        <v>-</v>
      </c>
      <c r="N34" s="4"/>
      <c r="O34">
        <f t="shared" si="2"/>
        <v>107</v>
      </c>
      <c r="P34">
        <f t="shared" si="2"/>
        <v>106</v>
      </c>
      <c r="Q34">
        <f t="shared" si="2"/>
        <v>101</v>
      </c>
      <c r="R34">
        <f t="shared" si="2"/>
        <v>108</v>
      </c>
      <c r="S34">
        <f t="shared" si="2"/>
        <v>108</v>
      </c>
      <c r="T34">
        <f t="shared" si="2"/>
        <v>46</v>
      </c>
      <c r="U34">
        <f t="shared" si="2"/>
        <v>118</v>
      </c>
      <c r="V34">
        <f t="shared" si="2"/>
        <v>97</v>
      </c>
      <c r="W34" s="5">
        <f t="shared" si="3"/>
        <v>859</v>
      </c>
      <c r="X34" s="9" t="str">
        <f t="shared" si="4"/>
        <v>j859</v>
      </c>
    </row>
    <row r="35" spans="1:24" x14ac:dyDescent="0.2">
      <c r="A35" s="9" t="s">
        <v>425</v>
      </c>
      <c r="B35" s="9">
        <v>1</v>
      </c>
      <c r="C35" s="22">
        <v>2</v>
      </c>
      <c r="D35" s="25"/>
      <c r="E35" s="23">
        <v>45180</v>
      </c>
      <c r="F35" s="23" t="s">
        <v>363</v>
      </c>
      <c r="G35" s="25" t="s">
        <v>42</v>
      </c>
      <c r="H35" s="24">
        <v>0</v>
      </c>
      <c r="I35" s="25" t="s">
        <v>8</v>
      </c>
      <c r="J35" s="25" t="s">
        <v>7</v>
      </c>
      <c r="K35" s="26" t="s">
        <v>9</v>
      </c>
      <c r="L35" s="25">
        <f t="shared" si="0"/>
        <v>687</v>
      </c>
      <c r="M35" s="4" t="str">
        <f>IF(Table3[[#This Row],[Afrondingsdatum YB]]="N/A","-",Table3[[#This Row],[Afrondingsdatum YB]]-Table3[[#This Row],[StartDatum]])</f>
        <v>-</v>
      </c>
      <c r="N35" s="4"/>
      <c r="O35">
        <f t="shared" si="2"/>
        <v>108</v>
      </c>
      <c r="P35">
        <f t="shared" si="2"/>
        <v>105</v>
      </c>
      <c r="Q35">
        <f t="shared" si="2"/>
        <v>110</v>
      </c>
      <c r="R35">
        <f t="shared" si="2"/>
        <v>100</v>
      </c>
      <c r="S35">
        <f t="shared" si="2"/>
        <v>121</v>
      </c>
      <c r="T35">
        <f t="shared" si="2"/>
        <v>46</v>
      </c>
      <c r="U35">
        <f t="shared" si="2"/>
        <v>97</v>
      </c>
      <c r="V35">
        <f t="shared" si="2"/>
        <v>110</v>
      </c>
      <c r="W35" s="5">
        <f t="shared" si="3"/>
        <v>890</v>
      </c>
      <c r="X35" s="9" t="str">
        <f t="shared" si="4"/>
        <v>i890</v>
      </c>
    </row>
    <row r="36" spans="1:24" x14ac:dyDescent="0.2">
      <c r="A36" s="9" t="s">
        <v>425</v>
      </c>
      <c r="B36" s="9">
        <v>1</v>
      </c>
      <c r="C36" s="17">
        <v>2</v>
      </c>
      <c r="D36" s="20"/>
      <c r="E36" s="18">
        <v>45180</v>
      </c>
      <c r="F36" s="18" t="s">
        <v>363</v>
      </c>
      <c r="G36" s="20" t="s">
        <v>43</v>
      </c>
      <c r="H36" s="19">
        <v>0</v>
      </c>
      <c r="I36" s="20" t="s">
        <v>8</v>
      </c>
      <c r="J36" s="20" t="s">
        <v>7</v>
      </c>
      <c r="K36" s="21" t="s">
        <v>9</v>
      </c>
      <c r="L36" s="20">
        <f t="shared" si="0"/>
        <v>689</v>
      </c>
      <c r="M36" s="4" t="str">
        <f>IF(Table3[[#This Row],[Afrondingsdatum YB]]="N/A","-",Table3[[#This Row],[Afrondingsdatum YB]]-Table3[[#This Row],[StartDatum]])</f>
        <v>-</v>
      </c>
      <c r="N36" s="4"/>
      <c r="O36">
        <f t="shared" si="2"/>
        <v>108</v>
      </c>
      <c r="P36">
        <f t="shared" si="2"/>
        <v>117</v>
      </c>
      <c r="Q36">
        <f t="shared" si="2"/>
        <v>99</v>
      </c>
      <c r="R36">
        <f t="shared" si="2"/>
        <v>46</v>
      </c>
      <c r="S36">
        <f t="shared" si="2"/>
        <v>98</v>
      </c>
      <c r="T36">
        <f t="shared" si="2"/>
        <v>111</v>
      </c>
      <c r="U36">
        <f t="shared" si="2"/>
        <v>110</v>
      </c>
      <c r="V36">
        <f t="shared" si="2"/>
        <v>100</v>
      </c>
      <c r="W36" s="5">
        <f t="shared" si="3"/>
        <v>894</v>
      </c>
      <c r="X36" s="9" t="str">
        <f t="shared" si="4"/>
        <v>u894</v>
      </c>
    </row>
    <row r="37" spans="1:24" x14ac:dyDescent="0.2">
      <c r="A37" s="9" t="s">
        <v>425</v>
      </c>
      <c r="B37" s="9">
        <v>1</v>
      </c>
      <c r="C37" s="22">
        <v>2</v>
      </c>
      <c r="D37" s="25"/>
      <c r="E37" s="23">
        <v>45180</v>
      </c>
      <c r="F37" s="23" t="s">
        <v>364</v>
      </c>
      <c r="G37" s="25" t="s">
        <v>44</v>
      </c>
      <c r="H37" s="24">
        <v>0</v>
      </c>
      <c r="I37" s="25" t="s">
        <v>8</v>
      </c>
      <c r="J37" s="25" t="s">
        <v>7</v>
      </c>
      <c r="K37" s="26" t="s">
        <v>9</v>
      </c>
      <c r="L37" s="25">
        <f t="shared" si="0"/>
        <v>680</v>
      </c>
      <c r="M37" s="4" t="str">
        <f>IF(Table3[[#This Row],[Afrondingsdatum YB]]="N/A","-",Table3[[#This Row],[Afrondingsdatum YB]]-Table3[[#This Row],[StartDatum]])</f>
        <v>-</v>
      </c>
      <c r="N37" s="4"/>
      <c r="O37">
        <f t="shared" si="2"/>
        <v>108</v>
      </c>
      <c r="P37">
        <f t="shared" si="2"/>
        <v>117</v>
      </c>
      <c r="Q37">
        <f t="shared" si="2"/>
        <v>99</v>
      </c>
      <c r="R37">
        <f t="shared" si="2"/>
        <v>97</v>
      </c>
      <c r="S37">
        <f t="shared" si="2"/>
        <v>115</v>
      </c>
      <c r="T37">
        <f t="shared" si="2"/>
        <v>46</v>
      </c>
      <c r="U37">
        <f t="shared" si="2"/>
        <v>98</v>
      </c>
      <c r="V37">
        <f t="shared" si="2"/>
        <v>114</v>
      </c>
      <c r="W37" s="5">
        <f t="shared" si="3"/>
        <v>861</v>
      </c>
      <c r="X37" s="9" t="str">
        <f t="shared" si="4"/>
        <v>u861</v>
      </c>
    </row>
    <row r="38" spans="1:24" x14ac:dyDescent="0.2">
      <c r="A38" s="9" t="s">
        <v>425</v>
      </c>
      <c r="B38" s="9">
        <v>1</v>
      </c>
      <c r="C38" s="17">
        <v>2</v>
      </c>
      <c r="D38" s="20"/>
      <c r="E38" s="18">
        <v>45180</v>
      </c>
      <c r="F38" s="18" t="s">
        <v>364</v>
      </c>
      <c r="G38" s="20" t="s">
        <v>45</v>
      </c>
      <c r="H38" s="19">
        <v>0</v>
      </c>
      <c r="I38" s="20" t="s">
        <v>8</v>
      </c>
      <c r="J38" s="20" t="s">
        <v>7</v>
      </c>
      <c r="K38" s="21" t="s">
        <v>9</v>
      </c>
      <c r="L38" s="20">
        <f t="shared" si="0"/>
        <v>757</v>
      </c>
      <c r="M38" s="4" t="str">
        <f>IF(Table3[[#This Row],[Afrondingsdatum YB]]="N/A","-",Table3[[#This Row],[Afrondingsdatum YB]]-Table3[[#This Row],[StartDatum]])</f>
        <v>-</v>
      </c>
      <c r="N38" s="4"/>
      <c r="O38">
        <f t="shared" si="2"/>
        <v>109</v>
      </c>
      <c r="P38">
        <f t="shared" si="2"/>
        <v>97</v>
      </c>
      <c r="Q38">
        <f t="shared" si="2"/>
        <v>114</v>
      </c>
      <c r="R38">
        <f t="shared" si="2"/>
        <v>116</v>
      </c>
      <c r="S38">
        <f t="shared" si="2"/>
        <v>105</v>
      </c>
      <c r="T38">
        <f t="shared" si="2"/>
        <v>106</v>
      </c>
      <c r="U38">
        <f t="shared" si="2"/>
        <v>110</v>
      </c>
      <c r="V38">
        <f t="shared" si="2"/>
        <v>46</v>
      </c>
      <c r="W38" s="5">
        <f t="shared" si="3"/>
        <v>896</v>
      </c>
      <c r="X38" s="9" t="str">
        <f t="shared" si="4"/>
        <v>a896</v>
      </c>
    </row>
    <row r="39" spans="1:24" x14ac:dyDescent="0.2">
      <c r="A39" s="9" t="s">
        <v>425</v>
      </c>
      <c r="B39" s="9">
        <v>1</v>
      </c>
      <c r="C39" s="22">
        <v>2</v>
      </c>
      <c r="D39" s="25"/>
      <c r="E39" s="23">
        <v>45180</v>
      </c>
      <c r="F39" s="23" t="s">
        <v>364</v>
      </c>
      <c r="G39" s="25" t="s">
        <v>46</v>
      </c>
      <c r="H39" s="24">
        <v>0</v>
      </c>
      <c r="I39" s="25" t="s">
        <v>8</v>
      </c>
      <c r="J39" s="25" t="s">
        <v>7</v>
      </c>
      <c r="K39" s="26" t="s">
        <v>9</v>
      </c>
      <c r="L39" s="25">
        <f t="shared" si="0"/>
        <v>682</v>
      </c>
      <c r="M39" s="4" t="str">
        <f>IF(Table3[[#This Row],[Afrondingsdatum YB]]="N/A","-",Table3[[#This Row],[Afrondingsdatum YB]]-Table3[[#This Row],[StartDatum]])</f>
        <v>-</v>
      </c>
      <c r="N39" s="4"/>
      <c r="O39">
        <f t="shared" si="2"/>
        <v>109</v>
      </c>
      <c r="P39">
        <f t="shared" si="2"/>
        <v>97</v>
      </c>
      <c r="Q39">
        <f t="shared" si="2"/>
        <v>114</v>
      </c>
      <c r="R39">
        <f t="shared" si="2"/>
        <v>119</v>
      </c>
      <c r="S39">
        <f t="shared" si="2"/>
        <v>97</v>
      </c>
      <c r="T39">
        <f t="shared" si="2"/>
        <v>46</v>
      </c>
      <c r="U39">
        <f t="shared" si="2"/>
        <v>100</v>
      </c>
      <c r="V39">
        <f t="shared" si="2"/>
        <v>97</v>
      </c>
      <c r="W39" s="5">
        <f t="shared" si="3"/>
        <v>869</v>
      </c>
      <c r="X39" s="9" t="str">
        <f t="shared" si="4"/>
        <v>a869</v>
      </c>
    </row>
    <row r="40" spans="1:24" x14ac:dyDescent="0.2">
      <c r="A40" s="9" t="s">
        <v>425</v>
      </c>
      <c r="B40" s="9">
        <v>1</v>
      </c>
      <c r="C40" s="17">
        <v>2</v>
      </c>
      <c r="D40" s="20"/>
      <c r="E40" s="18">
        <v>45180</v>
      </c>
      <c r="F40" s="18" t="s">
        <v>364</v>
      </c>
      <c r="G40" s="20" t="s">
        <v>47</v>
      </c>
      <c r="H40" s="19">
        <v>0</v>
      </c>
      <c r="I40" s="20" t="s">
        <v>8</v>
      </c>
      <c r="J40" s="20" t="s">
        <v>7</v>
      </c>
      <c r="K40" s="21" t="s">
        <v>9</v>
      </c>
      <c r="L40" s="20">
        <f t="shared" si="0"/>
        <v>673</v>
      </c>
      <c r="M40" s="4" t="str">
        <f>IF(Table3[[#This Row],[Afrondingsdatum YB]]="N/A","-",Table3[[#This Row],[Afrondingsdatum YB]]-Table3[[#This Row],[StartDatum]])</f>
        <v>-</v>
      </c>
      <c r="N40" s="4"/>
      <c r="O40">
        <f t="shared" si="2"/>
        <v>109</v>
      </c>
      <c r="P40">
        <f t="shared" si="2"/>
        <v>101</v>
      </c>
      <c r="Q40">
        <f t="shared" si="2"/>
        <v>101</v>
      </c>
      <c r="R40">
        <f t="shared" si="2"/>
        <v>115</v>
      </c>
      <c r="S40">
        <f t="shared" si="2"/>
        <v>46</v>
      </c>
      <c r="T40">
        <f t="shared" si="2"/>
        <v>100</v>
      </c>
      <c r="U40">
        <f t="shared" si="2"/>
        <v>101</v>
      </c>
      <c r="V40">
        <f t="shared" si="2"/>
        <v>46</v>
      </c>
      <c r="W40" s="5">
        <f t="shared" si="3"/>
        <v>784</v>
      </c>
      <c r="X40" s="9" t="str">
        <f t="shared" si="4"/>
        <v>e784</v>
      </c>
    </row>
    <row r="41" spans="1:24" x14ac:dyDescent="0.2">
      <c r="A41" s="9" t="s">
        <v>425</v>
      </c>
      <c r="B41" s="9">
        <v>1</v>
      </c>
      <c r="C41" s="22">
        <v>2</v>
      </c>
      <c r="D41" s="25"/>
      <c r="E41" s="23">
        <v>45180</v>
      </c>
      <c r="F41" s="23" t="s">
        <v>363</v>
      </c>
      <c r="G41" s="25" t="s">
        <v>48</v>
      </c>
      <c r="H41" s="24">
        <v>0</v>
      </c>
      <c r="I41" s="25" t="s">
        <v>8</v>
      </c>
      <c r="J41" s="25" t="s">
        <v>7</v>
      </c>
      <c r="K41" s="26" t="s">
        <v>9</v>
      </c>
      <c r="L41" s="25">
        <f t="shared" si="0"/>
        <v>675</v>
      </c>
      <c r="M41" s="4" t="str">
        <f>IF(Table3[[#This Row],[Afrondingsdatum YB]]="N/A","-",Table3[[#This Row],[Afrondingsdatum YB]]-Table3[[#This Row],[StartDatum]])</f>
        <v>-</v>
      </c>
      <c r="N41" s="4"/>
      <c r="O41">
        <f t="shared" si="2"/>
        <v>109</v>
      </c>
      <c r="P41">
        <f t="shared" si="2"/>
        <v>105</v>
      </c>
      <c r="Q41">
        <f t="shared" si="2"/>
        <v>108</v>
      </c>
      <c r="R41">
        <f t="shared" si="2"/>
        <v>97</v>
      </c>
      <c r="S41">
        <f t="shared" si="2"/>
        <v>110</v>
      </c>
      <c r="T41">
        <f t="shared" si="2"/>
        <v>46</v>
      </c>
      <c r="U41">
        <f t="shared" si="2"/>
        <v>100</v>
      </c>
      <c r="V41">
        <f t="shared" si="2"/>
        <v>105</v>
      </c>
      <c r="W41" s="5">
        <f t="shared" si="3"/>
        <v>871</v>
      </c>
      <c r="X41" s="9" t="str">
        <f t="shared" si="4"/>
        <v>i871</v>
      </c>
    </row>
    <row r="42" spans="1:24" x14ac:dyDescent="0.2">
      <c r="A42" s="9" t="s">
        <v>425</v>
      </c>
      <c r="B42" s="9">
        <v>1</v>
      </c>
      <c r="C42" s="17">
        <v>2</v>
      </c>
      <c r="D42" s="20"/>
      <c r="E42" s="18">
        <v>45180</v>
      </c>
      <c r="F42" s="18" t="s">
        <v>364</v>
      </c>
      <c r="G42" s="20" t="s">
        <v>49</v>
      </c>
      <c r="H42" s="19">
        <v>0</v>
      </c>
      <c r="I42" s="20" t="s">
        <v>8</v>
      </c>
      <c r="J42" s="20" t="s">
        <v>7</v>
      </c>
      <c r="K42" s="21" t="s">
        <v>9</v>
      </c>
      <c r="L42" s="20">
        <f t="shared" si="0"/>
        <v>690</v>
      </c>
      <c r="M42" s="4" t="str">
        <f>IF(Table3[[#This Row],[Afrondingsdatum YB]]="N/A","-",Table3[[#This Row],[Afrondingsdatum YB]]-Table3[[#This Row],[StartDatum]])</f>
        <v>-</v>
      </c>
      <c r="N42" s="4"/>
      <c r="O42">
        <f t="shared" si="2"/>
        <v>109</v>
      </c>
      <c r="P42">
        <f t="shared" si="2"/>
        <v>105</v>
      </c>
      <c r="Q42">
        <f t="shared" si="2"/>
        <v>114</v>
      </c>
      <c r="R42">
        <f t="shared" si="2"/>
        <v>110</v>
      </c>
      <c r="S42">
        <f t="shared" si="2"/>
        <v>97</v>
      </c>
      <c r="T42">
        <f t="shared" si="2"/>
        <v>46</v>
      </c>
      <c r="U42">
        <f t="shared" si="2"/>
        <v>109</v>
      </c>
      <c r="V42">
        <f t="shared" si="2"/>
        <v>111</v>
      </c>
      <c r="W42" s="5">
        <f t="shared" si="3"/>
        <v>894</v>
      </c>
      <c r="X42" s="9" t="str">
        <f t="shared" si="4"/>
        <v>i894</v>
      </c>
    </row>
    <row r="43" spans="1:24" x14ac:dyDescent="0.2">
      <c r="A43" s="9" t="s">
        <v>425</v>
      </c>
      <c r="B43" s="9">
        <v>1</v>
      </c>
      <c r="C43" s="22">
        <v>2</v>
      </c>
      <c r="D43" s="25"/>
      <c r="E43" s="23">
        <v>45180</v>
      </c>
      <c r="F43" s="23" t="s">
        <v>364</v>
      </c>
      <c r="G43" s="25" t="s">
        <v>50</v>
      </c>
      <c r="H43" s="24">
        <v>0</v>
      </c>
      <c r="I43" s="25" t="s">
        <v>8</v>
      </c>
      <c r="J43" s="25" t="s">
        <v>7</v>
      </c>
      <c r="K43" s="26" t="s">
        <v>9</v>
      </c>
      <c r="L43" s="25">
        <f t="shared" si="0"/>
        <v>731</v>
      </c>
      <c r="M43" s="4" t="str">
        <f>IF(Table3[[#This Row],[Afrondingsdatum YB]]="N/A","-",Table3[[#This Row],[Afrondingsdatum YB]]-Table3[[#This Row],[StartDatum]])</f>
        <v>-</v>
      </c>
      <c r="N43" s="4"/>
      <c r="O43">
        <f t="shared" si="2"/>
        <v>109</v>
      </c>
      <c r="P43">
        <f t="shared" si="2"/>
        <v>111</v>
      </c>
      <c r="Q43">
        <f t="shared" si="2"/>
        <v>104</v>
      </c>
      <c r="R43">
        <f t="shared" si="2"/>
        <v>97</v>
      </c>
      <c r="S43">
        <f t="shared" si="2"/>
        <v>109</v>
      </c>
      <c r="T43">
        <f t="shared" si="2"/>
        <v>101</v>
      </c>
      <c r="U43">
        <f t="shared" si="2"/>
        <v>100</v>
      </c>
      <c r="V43">
        <f t="shared" si="2"/>
        <v>46</v>
      </c>
      <c r="W43" s="5">
        <f t="shared" si="3"/>
        <v>857</v>
      </c>
      <c r="X43" s="9" t="str">
        <f t="shared" si="4"/>
        <v>o857</v>
      </c>
    </row>
    <row r="44" spans="1:24" x14ac:dyDescent="0.2">
      <c r="A44" s="9" t="s">
        <v>425</v>
      </c>
      <c r="B44" s="9">
        <v>1</v>
      </c>
      <c r="C44" s="17">
        <v>2</v>
      </c>
      <c r="D44" s="20"/>
      <c r="E44" s="18">
        <v>45180</v>
      </c>
      <c r="F44" s="18" t="s">
        <v>363</v>
      </c>
      <c r="G44" s="20" t="s">
        <v>51</v>
      </c>
      <c r="H44" s="19">
        <v>0</v>
      </c>
      <c r="I44" s="20" t="s">
        <v>8</v>
      </c>
      <c r="J44" s="20" t="s">
        <v>7</v>
      </c>
      <c r="K44" s="21" t="s">
        <v>9</v>
      </c>
      <c r="L44" s="20">
        <f t="shared" si="0"/>
        <v>742</v>
      </c>
      <c r="M44" s="4" t="str">
        <f>IF(Table3[[#This Row],[Afrondingsdatum YB]]="N/A","-",Table3[[#This Row],[Afrondingsdatum YB]]-Table3[[#This Row],[StartDatum]])</f>
        <v>-</v>
      </c>
      <c r="N44" s="4"/>
      <c r="O44">
        <f t="shared" si="2"/>
        <v>110</v>
      </c>
      <c r="P44">
        <f t="shared" si="2"/>
        <v>97</v>
      </c>
      <c r="Q44">
        <f t="shared" si="2"/>
        <v>111</v>
      </c>
      <c r="R44">
        <f t="shared" si="2"/>
        <v>117</v>
      </c>
      <c r="S44">
        <f t="shared" si="2"/>
        <v>102</v>
      </c>
      <c r="T44">
        <f t="shared" si="2"/>
        <v>97</v>
      </c>
      <c r="U44">
        <f t="shared" si="2"/>
        <v>108</v>
      </c>
      <c r="V44">
        <f t="shared" si="2"/>
        <v>46</v>
      </c>
      <c r="W44" s="5">
        <f t="shared" si="3"/>
        <v>874</v>
      </c>
      <c r="X44" s="9" t="str">
        <f t="shared" si="4"/>
        <v>a874</v>
      </c>
    </row>
    <row r="45" spans="1:24" x14ac:dyDescent="0.2">
      <c r="A45" s="9" t="s">
        <v>425</v>
      </c>
      <c r="B45" s="9">
        <v>1</v>
      </c>
      <c r="C45" s="22">
        <v>2</v>
      </c>
      <c r="D45" s="25"/>
      <c r="E45" s="23">
        <v>45180</v>
      </c>
      <c r="F45" s="23" t="s">
        <v>362</v>
      </c>
      <c r="G45" s="25" t="s">
        <v>52</v>
      </c>
      <c r="H45" s="24">
        <v>0</v>
      </c>
      <c r="I45" s="25" t="s">
        <v>8</v>
      </c>
      <c r="J45" s="25" t="s">
        <v>7</v>
      </c>
      <c r="K45" s="26" t="s">
        <v>9</v>
      </c>
      <c r="L45" s="25">
        <f t="shared" si="0"/>
        <v>684</v>
      </c>
      <c r="M45" s="4" t="str">
        <f>IF(Table3[[#This Row],[Afrondingsdatum YB]]="N/A","-",Table3[[#This Row],[Afrondingsdatum YB]]-Table3[[#This Row],[StartDatum]])</f>
        <v>-</v>
      </c>
      <c r="N45" s="4"/>
      <c r="O45">
        <f t="shared" si="2"/>
        <v>110</v>
      </c>
      <c r="P45">
        <f t="shared" si="2"/>
        <v>105</v>
      </c>
      <c r="Q45">
        <f t="shared" si="2"/>
        <v>99</v>
      </c>
      <c r="R45">
        <f t="shared" si="2"/>
        <v>107</v>
      </c>
      <c r="S45">
        <f t="shared" si="2"/>
        <v>46</v>
      </c>
      <c r="T45">
        <f t="shared" si="2"/>
        <v>106</v>
      </c>
      <c r="U45">
        <f t="shared" si="2"/>
        <v>111</v>
      </c>
      <c r="V45">
        <f t="shared" si="2"/>
        <v>111</v>
      </c>
      <c r="W45" s="5">
        <f t="shared" si="3"/>
        <v>860</v>
      </c>
      <c r="X45" s="9" t="str">
        <f t="shared" si="4"/>
        <v>i860</v>
      </c>
    </row>
    <row r="46" spans="1:24" x14ac:dyDescent="0.2">
      <c r="A46" s="9" t="s">
        <v>425</v>
      </c>
      <c r="B46" s="9">
        <v>1</v>
      </c>
      <c r="C46" s="17">
        <v>2</v>
      </c>
      <c r="D46" s="20"/>
      <c r="E46" s="18">
        <v>45180</v>
      </c>
      <c r="F46" s="18" t="s">
        <v>364</v>
      </c>
      <c r="G46" s="20" t="s">
        <v>53</v>
      </c>
      <c r="H46" s="19">
        <v>0</v>
      </c>
      <c r="I46" s="20" t="s">
        <v>8</v>
      </c>
      <c r="J46" s="20" t="s">
        <v>7</v>
      </c>
      <c r="K46" s="21" t="s">
        <v>9</v>
      </c>
      <c r="L46" s="20">
        <f t="shared" si="0"/>
        <v>737</v>
      </c>
      <c r="M46" s="4" t="str">
        <f>IF(Table3[[#This Row],[Afrondingsdatum YB]]="N/A","-",Table3[[#This Row],[Afrondingsdatum YB]]-Table3[[#This Row],[StartDatum]])</f>
        <v>-</v>
      </c>
      <c r="N46" s="4"/>
      <c r="O46">
        <f t="shared" si="2"/>
        <v>110</v>
      </c>
      <c r="P46">
        <f t="shared" si="2"/>
        <v>105</v>
      </c>
      <c r="Q46">
        <f t="shared" si="2"/>
        <v>99</v>
      </c>
      <c r="R46">
        <f t="shared" si="2"/>
        <v>107</v>
      </c>
      <c r="S46">
        <f t="shared" si="2"/>
        <v>111</v>
      </c>
      <c r="T46">
        <f t="shared" si="2"/>
        <v>108</v>
      </c>
      <c r="U46">
        <f t="shared" si="2"/>
        <v>97</v>
      </c>
      <c r="V46">
        <f t="shared" si="2"/>
        <v>115</v>
      </c>
      <c r="W46" s="5">
        <f t="shared" si="3"/>
        <v>917</v>
      </c>
      <c r="X46" s="9" t="str">
        <f t="shared" si="4"/>
        <v>i917</v>
      </c>
    </row>
    <row r="47" spans="1:24" x14ac:dyDescent="0.2">
      <c r="A47" s="9" t="s">
        <v>425</v>
      </c>
      <c r="B47" s="9">
        <v>1</v>
      </c>
      <c r="C47" s="22">
        <v>2</v>
      </c>
      <c r="D47" s="25"/>
      <c r="E47" s="23">
        <v>45180</v>
      </c>
      <c r="F47" s="23" t="s">
        <v>364</v>
      </c>
      <c r="G47" s="25" t="s">
        <v>54</v>
      </c>
      <c r="H47" s="24">
        <v>0</v>
      </c>
      <c r="I47" s="25" t="s">
        <v>8</v>
      </c>
      <c r="J47" s="25" t="s">
        <v>7</v>
      </c>
      <c r="K47" s="26" t="s">
        <v>9</v>
      </c>
      <c r="L47" s="25">
        <f t="shared" si="0"/>
        <v>705</v>
      </c>
      <c r="M47" s="4" t="str">
        <f>IF(Table3[[#This Row],[Afrondingsdatum YB]]="N/A","-",Table3[[#This Row],[Afrondingsdatum YB]]-Table3[[#This Row],[StartDatum]])</f>
        <v>-</v>
      </c>
      <c r="N47" s="4"/>
      <c r="O47">
        <f t="shared" si="2"/>
        <v>110</v>
      </c>
      <c r="P47">
        <f t="shared" si="2"/>
        <v>105</v>
      </c>
      <c r="Q47">
        <f t="shared" si="2"/>
        <v>115</v>
      </c>
      <c r="R47">
        <f t="shared" si="2"/>
        <v>114</v>
      </c>
      <c r="S47">
        <f t="shared" si="2"/>
        <v>105</v>
      </c>
      <c r="T47">
        <f t="shared" si="2"/>
        <v>110</v>
      </c>
      <c r="U47">
        <f t="shared" si="2"/>
        <v>46</v>
      </c>
      <c r="V47">
        <f t="shared" si="2"/>
        <v>104</v>
      </c>
      <c r="W47" s="5">
        <f t="shared" si="3"/>
        <v>901</v>
      </c>
      <c r="X47" s="9" t="str">
        <f t="shared" si="4"/>
        <v>i901</v>
      </c>
    </row>
    <row r="48" spans="1:24" x14ac:dyDescent="0.2">
      <c r="A48" s="9" t="s">
        <v>425</v>
      </c>
      <c r="B48" s="9">
        <v>1</v>
      </c>
      <c r="C48" s="17">
        <v>2</v>
      </c>
      <c r="D48" s="20"/>
      <c r="E48" s="18">
        <v>45180</v>
      </c>
      <c r="F48" s="18" t="s">
        <v>364</v>
      </c>
      <c r="G48" s="20" t="s">
        <v>55</v>
      </c>
      <c r="H48" s="19">
        <v>0</v>
      </c>
      <c r="I48" s="20" t="s">
        <v>8</v>
      </c>
      <c r="J48" s="20" t="s">
        <v>7</v>
      </c>
      <c r="K48" s="21" t="s">
        <v>9</v>
      </c>
      <c r="L48" s="20">
        <f t="shared" si="0"/>
        <v>681</v>
      </c>
      <c r="M48" s="4" t="str">
        <f>IF(Table3[[#This Row],[Afrondingsdatum YB]]="N/A","-",Table3[[#This Row],[Afrondingsdatum YB]]-Table3[[#This Row],[StartDatum]])</f>
        <v>-</v>
      </c>
      <c r="N48" s="4"/>
      <c r="O48">
        <f t="shared" ref="O48:V79" si="5">CODE(MID($G48,O$1,1))</f>
        <v>110</v>
      </c>
      <c r="P48">
        <f t="shared" si="5"/>
        <v>111</v>
      </c>
      <c r="Q48">
        <f t="shared" si="5"/>
        <v>101</v>
      </c>
      <c r="R48">
        <f t="shared" si="5"/>
        <v>108</v>
      </c>
      <c r="S48">
        <f t="shared" si="5"/>
        <v>108</v>
      </c>
      <c r="T48">
        <f t="shared" si="5"/>
        <v>97</v>
      </c>
      <c r="U48">
        <f t="shared" si="5"/>
        <v>46</v>
      </c>
      <c r="V48">
        <f t="shared" si="5"/>
        <v>108</v>
      </c>
      <c r="W48" s="5">
        <f t="shared" si="3"/>
        <v>855</v>
      </c>
      <c r="X48" s="9" t="str">
        <f t="shared" si="4"/>
        <v>o855</v>
      </c>
    </row>
    <row r="49" spans="1:24" x14ac:dyDescent="0.2">
      <c r="A49" s="9" t="s">
        <v>425</v>
      </c>
      <c r="B49" s="9">
        <v>1</v>
      </c>
      <c r="C49" s="22">
        <v>2</v>
      </c>
      <c r="D49" s="25"/>
      <c r="E49" s="23">
        <v>45180</v>
      </c>
      <c r="F49" s="23" t="s">
        <v>363</v>
      </c>
      <c r="G49" s="25" t="s">
        <v>56</v>
      </c>
      <c r="H49" s="24">
        <v>0</v>
      </c>
      <c r="I49" s="25" t="s">
        <v>8</v>
      </c>
      <c r="J49" s="25" t="s">
        <v>7</v>
      </c>
      <c r="K49" s="26" t="s">
        <v>9</v>
      </c>
      <c r="L49" s="25">
        <f t="shared" si="0"/>
        <v>708</v>
      </c>
      <c r="M49" s="4" t="str">
        <f>IF(Table3[[#This Row],[Afrondingsdatum YB]]="N/A","-",Table3[[#This Row],[Afrondingsdatum YB]]-Table3[[#This Row],[StartDatum]])</f>
        <v>-</v>
      </c>
      <c r="N49" s="4"/>
      <c r="O49">
        <f t="shared" si="5"/>
        <v>110</v>
      </c>
      <c r="P49">
        <f t="shared" si="5"/>
        <v>117</v>
      </c>
      <c r="Q49">
        <f t="shared" si="5"/>
        <v>112</v>
      </c>
      <c r="R49">
        <f t="shared" si="5"/>
        <v>101</v>
      </c>
      <c r="S49">
        <f t="shared" si="5"/>
        <v>108</v>
      </c>
      <c r="T49">
        <f t="shared" si="5"/>
        <v>46</v>
      </c>
      <c r="U49">
        <f t="shared" si="5"/>
        <v>114</v>
      </c>
      <c r="V49">
        <f t="shared" si="5"/>
        <v>117</v>
      </c>
      <c r="W49" s="5">
        <f t="shared" si="3"/>
        <v>915</v>
      </c>
      <c r="X49" s="9" t="str">
        <f t="shared" si="4"/>
        <v>u915</v>
      </c>
    </row>
    <row r="50" spans="1:24" x14ac:dyDescent="0.2">
      <c r="A50" s="9" t="s">
        <v>425</v>
      </c>
      <c r="B50" s="9">
        <v>1</v>
      </c>
      <c r="C50" s="17">
        <v>2</v>
      </c>
      <c r="D50" s="20"/>
      <c r="E50" s="18">
        <v>45180</v>
      </c>
      <c r="F50" s="18" t="s">
        <v>364</v>
      </c>
      <c r="G50" s="20" t="s">
        <v>57</v>
      </c>
      <c r="H50" s="19">
        <v>0</v>
      </c>
      <c r="I50" s="20" t="s">
        <v>8</v>
      </c>
      <c r="J50" s="20" t="s">
        <v>7</v>
      </c>
      <c r="K50" s="21" t="s">
        <v>9</v>
      </c>
      <c r="L50" s="20">
        <f t="shared" si="0"/>
        <v>762</v>
      </c>
      <c r="M50" s="4" t="str">
        <f>IF(Table3[[#This Row],[Afrondingsdatum YB]]="N/A","-",Table3[[#This Row],[Afrondingsdatum YB]]-Table3[[#This Row],[StartDatum]])</f>
        <v>-</v>
      </c>
      <c r="N50" s="4"/>
      <c r="O50">
        <f t="shared" si="5"/>
        <v>111</v>
      </c>
      <c r="P50">
        <f t="shared" si="5"/>
        <v>108</v>
      </c>
      <c r="Q50">
        <f t="shared" si="5"/>
        <v>105</v>
      </c>
      <c r="R50">
        <f t="shared" si="5"/>
        <v>118</v>
      </c>
      <c r="S50">
        <f t="shared" si="5"/>
        <v>105</v>
      </c>
      <c r="T50">
        <f t="shared" si="5"/>
        <v>101</v>
      </c>
      <c r="U50">
        <f t="shared" si="5"/>
        <v>114</v>
      </c>
      <c r="V50">
        <f t="shared" si="5"/>
        <v>46</v>
      </c>
      <c r="W50" s="5">
        <f t="shared" si="3"/>
        <v>876</v>
      </c>
      <c r="X50" s="9" t="str">
        <f t="shared" si="4"/>
        <v>l876</v>
      </c>
    </row>
    <row r="51" spans="1:24" x14ac:dyDescent="0.2">
      <c r="A51" s="9" t="s">
        <v>425</v>
      </c>
      <c r="B51" s="9">
        <v>1</v>
      </c>
      <c r="C51" s="22">
        <v>2</v>
      </c>
      <c r="D51" s="25"/>
      <c r="E51" s="23">
        <v>45180</v>
      </c>
      <c r="F51" s="23" t="s">
        <v>362</v>
      </c>
      <c r="G51" s="25" t="s">
        <v>58</v>
      </c>
      <c r="H51" s="24">
        <v>0</v>
      </c>
      <c r="I51" s="25" t="s">
        <v>8</v>
      </c>
      <c r="J51" s="25" t="s">
        <v>7</v>
      </c>
      <c r="K51" s="26" t="s">
        <v>9</v>
      </c>
      <c r="L51" s="25">
        <f t="shared" si="0"/>
        <v>681</v>
      </c>
      <c r="M51" s="4" t="str">
        <f>IF(Table3[[#This Row],[Afrondingsdatum YB]]="N/A","-",Table3[[#This Row],[Afrondingsdatum YB]]-Table3[[#This Row],[StartDatum]])</f>
        <v>-</v>
      </c>
      <c r="N51" s="4"/>
      <c r="O51">
        <f t="shared" si="5"/>
        <v>112</v>
      </c>
      <c r="P51">
        <f t="shared" si="5"/>
        <v>97</v>
      </c>
      <c r="Q51">
        <f t="shared" si="5"/>
        <v>117</v>
      </c>
      <c r="R51">
        <f t="shared" si="5"/>
        <v>108</v>
      </c>
      <c r="S51">
        <f t="shared" si="5"/>
        <v>46</v>
      </c>
      <c r="T51">
        <f t="shared" si="5"/>
        <v>100</v>
      </c>
      <c r="U51">
        <f t="shared" si="5"/>
        <v>101</v>
      </c>
      <c r="V51">
        <f t="shared" si="5"/>
        <v>46</v>
      </c>
      <c r="W51" s="5">
        <f t="shared" si="3"/>
        <v>832</v>
      </c>
      <c r="X51" s="9" t="str">
        <f t="shared" si="4"/>
        <v>a832</v>
      </c>
    </row>
    <row r="52" spans="1:24" x14ac:dyDescent="0.2">
      <c r="A52" s="9" t="s">
        <v>425</v>
      </c>
      <c r="B52" s="9">
        <v>1</v>
      </c>
      <c r="C52" s="17">
        <v>2</v>
      </c>
      <c r="D52" s="20"/>
      <c r="E52" s="18">
        <v>45180</v>
      </c>
      <c r="F52" s="18" t="s">
        <v>364</v>
      </c>
      <c r="G52" s="20" t="s">
        <v>59</v>
      </c>
      <c r="H52" s="19">
        <v>0</v>
      </c>
      <c r="I52" s="20" t="s">
        <v>8</v>
      </c>
      <c r="J52" s="20" t="s">
        <v>7</v>
      </c>
      <c r="K52" s="21" t="s">
        <v>9</v>
      </c>
      <c r="L52" s="20">
        <f t="shared" si="0"/>
        <v>695</v>
      </c>
      <c r="M52" s="4" t="str">
        <f>IF(Table3[[#This Row],[Afrondingsdatum YB]]="N/A","-",Table3[[#This Row],[Afrondingsdatum YB]]-Table3[[#This Row],[StartDatum]])</f>
        <v>-</v>
      </c>
      <c r="N52" s="4"/>
      <c r="O52">
        <f t="shared" si="5"/>
        <v>112</v>
      </c>
      <c r="P52">
        <f t="shared" si="5"/>
        <v>105</v>
      </c>
      <c r="Q52">
        <f t="shared" si="5"/>
        <v>101</v>
      </c>
      <c r="R52">
        <f t="shared" si="5"/>
        <v>116</v>
      </c>
      <c r="S52">
        <f t="shared" si="5"/>
        <v>101</v>
      </c>
      <c r="T52">
        <f t="shared" si="5"/>
        <v>114</v>
      </c>
      <c r="U52">
        <f t="shared" si="5"/>
        <v>46</v>
      </c>
      <c r="V52">
        <f t="shared" si="5"/>
        <v>109</v>
      </c>
      <c r="W52" s="5">
        <f t="shared" si="3"/>
        <v>867</v>
      </c>
      <c r="X52" s="9" t="str">
        <f t="shared" si="4"/>
        <v>i867</v>
      </c>
    </row>
    <row r="53" spans="1:24" x14ac:dyDescent="0.2">
      <c r="A53" s="9" t="s">
        <v>425</v>
      </c>
      <c r="B53" s="9">
        <v>1</v>
      </c>
      <c r="C53" s="22">
        <v>2</v>
      </c>
      <c r="D53" s="25"/>
      <c r="E53" s="23">
        <v>45180</v>
      </c>
      <c r="F53" s="23" t="s">
        <v>362</v>
      </c>
      <c r="G53" s="25" t="s">
        <v>60</v>
      </c>
      <c r="H53" s="24">
        <v>0</v>
      </c>
      <c r="I53" s="25" t="s">
        <v>8</v>
      </c>
      <c r="J53" s="25" t="s">
        <v>7</v>
      </c>
      <c r="K53" s="26" t="s">
        <v>9</v>
      </c>
      <c r="L53" s="25">
        <f t="shared" si="0"/>
        <v>703</v>
      </c>
      <c r="M53" s="4" t="str">
        <f>IF(Table3[[#This Row],[Afrondingsdatum YB]]="N/A","-",Table3[[#This Row],[Afrondingsdatum YB]]-Table3[[#This Row],[StartDatum]])</f>
        <v>-</v>
      </c>
      <c r="N53" s="4"/>
      <c r="O53">
        <f t="shared" si="5"/>
        <v>114</v>
      </c>
      <c r="P53">
        <f t="shared" si="5"/>
        <v>101</v>
      </c>
      <c r="Q53">
        <f t="shared" si="5"/>
        <v>110</v>
      </c>
      <c r="R53">
        <f t="shared" si="5"/>
        <v>115</v>
      </c>
      <c r="S53">
        <f t="shared" si="5"/>
        <v>46</v>
      </c>
      <c r="T53">
        <f t="shared" si="5"/>
        <v>103</v>
      </c>
      <c r="U53">
        <f t="shared" si="5"/>
        <v>114</v>
      </c>
      <c r="V53">
        <f t="shared" si="5"/>
        <v>111</v>
      </c>
      <c r="W53" s="5">
        <f t="shared" si="3"/>
        <v>897</v>
      </c>
      <c r="X53" s="9" t="str">
        <f t="shared" si="4"/>
        <v>e897</v>
      </c>
    </row>
    <row r="54" spans="1:24" x14ac:dyDescent="0.2">
      <c r="A54" s="9" t="s">
        <v>425</v>
      </c>
      <c r="B54" s="9">
        <v>1</v>
      </c>
      <c r="C54" s="17">
        <v>2</v>
      </c>
      <c r="D54" s="20"/>
      <c r="E54" s="18">
        <v>45180</v>
      </c>
      <c r="F54" s="18" t="s">
        <v>363</v>
      </c>
      <c r="G54" s="20" t="s">
        <v>61</v>
      </c>
      <c r="H54" s="19">
        <v>0</v>
      </c>
      <c r="I54" s="20" t="s">
        <v>8</v>
      </c>
      <c r="J54" s="20" t="s">
        <v>7</v>
      </c>
      <c r="K54" s="21" t="s">
        <v>9</v>
      </c>
      <c r="L54" s="20">
        <f t="shared" si="0"/>
        <v>697</v>
      </c>
      <c r="M54" s="4" t="str">
        <f>IF(Table3[[#This Row],[Afrondingsdatum YB]]="N/A","-",Table3[[#This Row],[Afrondingsdatum YB]]-Table3[[#This Row],[StartDatum]])</f>
        <v>-</v>
      </c>
      <c r="N54" s="4"/>
      <c r="O54">
        <f t="shared" si="5"/>
        <v>114</v>
      </c>
      <c r="P54">
        <f t="shared" si="5"/>
        <v>111</v>
      </c>
      <c r="Q54">
        <f t="shared" si="5"/>
        <v>119</v>
      </c>
      <c r="R54">
        <f t="shared" si="5"/>
        <v>97</v>
      </c>
      <c r="S54">
        <f t="shared" si="5"/>
        <v>110</v>
      </c>
      <c r="T54">
        <f t="shared" si="5"/>
        <v>46</v>
      </c>
      <c r="U54">
        <f t="shared" si="5"/>
        <v>100</v>
      </c>
      <c r="V54">
        <f t="shared" si="5"/>
        <v>101</v>
      </c>
      <c r="W54" s="5">
        <f t="shared" si="3"/>
        <v>908</v>
      </c>
      <c r="X54" s="9" t="str">
        <f t="shared" si="4"/>
        <v>o908</v>
      </c>
    </row>
    <row r="55" spans="1:24" x14ac:dyDescent="0.2">
      <c r="A55" s="9" t="s">
        <v>425</v>
      </c>
      <c r="B55" s="9">
        <v>1</v>
      </c>
      <c r="C55" s="22">
        <v>2</v>
      </c>
      <c r="D55" s="25"/>
      <c r="E55" s="23">
        <v>45180</v>
      </c>
      <c r="F55" s="23" t="s">
        <v>363</v>
      </c>
      <c r="G55" s="25" t="s">
        <v>62</v>
      </c>
      <c r="H55" s="24">
        <v>0</v>
      </c>
      <c r="I55" s="25" t="s">
        <v>8</v>
      </c>
      <c r="J55" s="25" t="s">
        <v>7</v>
      </c>
      <c r="K55" s="26" t="s">
        <v>9</v>
      </c>
      <c r="L55" s="25">
        <f t="shared" si="0"/>
        <v>670</v>
      </c>
      <c r="M55" s="4" t="str">
        <f>IF(Table3[[#This Row],[Afrondingsdatum YB]]="N/A","-",Table3[[#This Row],[Afrondingsdatum YB]]-Table3[[#This Row],[StartDatum]])</f>
        <v>-</v>
      </c>
      <c r="N55" s="4"/>
      <c r="O55">
        <f t="shared" si="5"/>
        <v>115</v>
      </c>
      <c r="P55">
        <f t="shared" si="5"/>
        <v>97</v>
      </c>
      <c r="Q55">
        <f t="shared" si="5"/>
        <v>114</v>
      </c>
      <c r="R55">
        <f t="shared" si="5"/>
        <v>97</v>
      </c>
      <c r="S55">
        <f t="shared" si="5"/>
        <v>46</v>
      </c>
      <c r="T55">
        <f t="shared" si="5"/>
        <v>100</v>
      </c>
      <c r="U55">
        <f t="shared" si="5"/>
        <v>101</v>
      </c>
      <c r="V55">
        <f t="shared" si="5"/>
        <v>46</v>
      </c>
      <c r="W55" s="5">
        <f t="shared" si="3"/>
        <v>823</v>
      </c>
      <c r="X55" s="9" t="str">
        <f t="shared" si="4"/>
        <v>a823</v>
      </c>
    </row>
    <row r="56" spans="1:24" x14ac:dyDescent="0.2">
      <c r="A56" s="9" t="s">
        <v>425</v>
      </c>
      <c r="B56" s="9">
        <v>1</v>
      </c>
      <c r="C56" s="17">
        <v>2</v>
      </c>
      <c r="D56" s="20"/>
      <c r="E56" s="18">
        <v>45180</v>
      </c>
      <c r="F56" s="18" t="s">
        <v>362</v>
      </c>
      <c r="G56" s="20" t="s">
        <v>131</v>
      </c>
      <c r="H56" s="19">
        <v>0</v>
      </c>
      <c r="I56" s="20" t="s">
        <v>8</v>
      </c>
      <c r="J56" s="20" t="s">
        <v>7</v>
      </c>
      <c r="K56" s="21" t="s">
        <v>9</v>
      </c>
      <c r="L56" s="20">
        <f t="shared" si="0"/>
        <v>675</v>
      </c>
      <c r="M56" s="4" t="str">
        <f>IF(Table3[[#This Row],[Afrondingsdatum YB]]="N/A","-",Table3[[#This Row],[Afrondingsdatum YB]]-Table3[[#This Row],[StartDatum]])</f>
        <v>-</v>
      </c>
      <c r="N56" s="4"/>
      <c r="O56">
        <f t="shared" si="5"/>
        <v>115</v>
      </c>
      <c r="P56">
        <f t="shared" si="5"/>
        <v>97</v>
      </c>
      <c r="Q56">
        <f t="shared" si="5"/>
        <v>114</v>
      </c>
      <c r="R56">
        <f t="shared" si="5"/>
        <v>97</v>
      </c>
      <c r="S56">
        <f t="shared" si="5"/>
        <v>104</v>
      </c>
      <c r="T56">
        <f t="shared" si="5"/>
        <v>46</v>
      </c>
      <c r="U56">
        <f t="shared" si="5"/>
        <v>102</v>
      </c>
      <c r="V56">
        <f t="shared" si="5"/>
        <v>97</v>
      </c>
      <c r="W56" s="5">
        <f t="shared" si="3"/>
        <v>879</v>
      </c>
      <c r="X56" s="9" t="str">
        <f t="shared" si="4"/>
        <v>a879</v>
      </c>
    </row>
    <row r="57" spans="1:24" x14ac:dyDescent="0.2">
      <c r="A57" s="9" t="s">
        <v>425</v>
      </c>
      <c r="B57" s="9">
        <v>1</v>
      </c>
      <c r="C57" s="22">
        <v>2</v>
      </c>
      <c r="D57" s="25"/>
      <c r="E57" s="23">
        <v>45180</v>
      </c>
      <c r="F57" s="23" t="s">
        <v>362</v>
      </c>
      <c r="G57" s="25" t="s">
        <v>63</v>
      </c>
      <c r="H57" s="24">
        <v>0</v>
      </c>
      <c r="I57" s="25" t="s">
        <v>8</v>
      </c>
      <c r="J57" s="25" t="s">
        <v>7</v>
      </c>
      <c r="K57" s="26" t="s">
        <v>9</v>
      </c>
      <c r="L57" s="25">
        <f t="shared" si="0"/>
        <v>673</v>
      </c>
      <c r="M57" s="4" t="str">
        <f>IF(Table3[[#This Row],[Afrondingsdatum YB]]="N/A","-",Table3[[#This Row],[Afrondingsdatum YB]]-Table3[[#This Row],[StartDatum]])</f>
        <v>-</v>
      </c>
      <c r="N57" s="4"/>
      <c r="O57">
        <f t="shared" si="5"/>
        <v>83</v>
      </c>
      <c r="P57">
        <f t="shared" si="5"/>
        <v>121</v>
      </c>
      <c r="Q57">
        <f t="shared" si="5"/>
        <v>98</v>
      </c>
      <c r="R57">
        <f t="shared" si="5"/>
        <v>114</v>
      </c>
      <c r="S57">
        <f t="shared" si="5"/>
        <v>101</v>
      </c>
      <c r="T57">
        <f t="shared" si="5"/>
        <v>110</v>
      </c>
      <c r="U57">
        <f t="shared" si="5"/>
        <v>46</v>
      </c>
      <c r="V57">
        <f t="shared" si="5"/>
        <v>104</v>
      </c>
      <c r="W57" s="5">
        <f t="shared" si="3"/>
        <v>827</v>
      </c>
      <c r="X57" s="9" t="str">
        <f t="shared" si="4"/>
        <v>y827</v>
      </c>
    </row>
    <row r="58" spans="1:24" x14ac:dyDescent="0.2">
      <c r="A58" s="9" t="s">
        <v>425</v>
      </c>
      <c r="B58" s="9">
        <v>1</v>
      </c>
      <c r="C58" s="17">
        <v>2</v>
      </c>
      <c r="D58" s="20"/>
      <c r="E58" s="18">
        <v>45180</v>
      </c>
      <c r="F58" s="18" t="s">
        <v>363</v>
      </c>
      <c r="G58" s="20" t="s">
        <v>64</v>
      </c>
      <c r="H58" s="19">
        <v>0</v>
      </c>
      <c r="I58" s="20" t="s">
        <v>8</v>
      </c>
      <c r="J58" s="20" t="s">
        <v>7</v>
      </c>
      <c r="K58" s="21" t="s">
        <v>9</v>
      </c>
      <c r="L58" s="20">
        <f t="shared" si="0"/>
        <v>709</v>
      </c>
      <c r="M58" s="4" t="str">
        <f>IF(Table3[[#This Row],[Afrondingsdatum YB]]="N/A","-",Table3[[#This Row],[Afrondingsdatum YB]]-Table3[[#This Row],[StartDatum]])</f>
        <v>-</v>
      </c>
      <c r="N58" s="4"/>
      <c r="O58">
        <f t="shared" si="5"/>
        <v>116</v>
      </c>
      <c r="P58">
        <f t="shared" si="5"/>
        <v>101</v>
      </c>
      <c r="Q58">
        <f t="shared" si="5"/>
        <v>117</v>
      </c>
      <c r="R58">
        <f t="shared" si="5"/>
        <v>110</v>
      </c>
      <c r="S58">
        <f t="shared" si="5"/>
        <v>46</v>
      </c>
      <c r="T58">
        <f t="shared" si="5"/>
        <v>114</v>
      </c>
      <c r="U58">
        <f t="shared" si="5"/>
        <v>105</v>
      </c>
      <c r="V58">
        <f t="shared" si="5"/>
        <v>110</v>
      </c>
      <c r="W58" s="5">
        <f t="shared" si="3"/>
        <v>920</v>
      </c>
      <c r="X58" s="9" t="str">
        <f t="shared" si="4"/>
        <v>e920</v>
      </c>
    </row>
    <row r="59" spans="1:24" x14ac:dyDescent="0.2">
      <c r="A59" s="9" t="s">
        <v>425</v>
      </c>
      <c r="B59" s="9">
        <v>1</v>
      </c>
      <c r="C59" s="22">
        <v>2</v>
      </c>
      <c r="D59" s="25"/>
      <c r="E59" s="23">
        <v>45180</v>
      </c>
      <c r="F59" s="23" t="s">
        <v>364</v>
      </c>
      <c r="G59" s="25" t="s">
        <v>65</v>
      </c>
      <c r="H59" s="24">
        <v>0</v>
      </c>
      <c r="I59" s="25" t="s">
        <v>8</v>
      </c>
      <c r="J59" s="25" t="s">
        <v>7</v>
      </c>
      <c r="K59" s="26" t="s">
        <v>9</v>
      </c>
      <c r="L59" s="25">
        <f t="shared" si="0"/>
        <v>711</v>
      </c>
      <c r="M59" s="4" t="str">
        <f>IF(Table3[[#This Row],[Afrondingsdatum YB]]="N/A","-",Table3[[#This Row],[Afrondingsdatum YB]]-Table3[[#This Row],[StartDatum]])</f>
        <v>-</v>
      </c>
      <c r="N59" s="4"/>
      <c r="O59">
        <f t="shared" si="5"/>
        <v>119</v>
      </c>
      <c r="P59">
        <f t="shared" si="5"/>
        <v>101</v>
      </c>
      <c r="Q59">
        <f t="shared" si="5"/>
        <v>115</v>
      </c>
      <c r="R59">
        <f t="shared" si="5"/>
        <v>108</v>
      </c>
      <c r="S59">
        <f t="shared" si="5"/>
        <v>101</v>
      </c>
      <c r="T59">
        <f t="shared" si="5"/>
        <v>121</v>
      </c>
      <c r="U59">
        <f t="shared" si="5"/>
        <v>46</v>
      </c>
      <c r="V59">
        <f t="shared" si="5"/>
        <v>99</v>
      </c>
      <c r="W59" s="5">
        <f t="shared" si="3"/>
        <v>909</v>
      </c>
      <c r="X59" s="9" t="str">
        <f t="shared" si="4"/>
        <v>e909</v>
      </c>
    </row>
    <row r="60" spans="1:24" x14ac:dyDescent="0.2">
      <c r="A60" s="9" t="s">
        <v>425</v>
      </c>
      <c r="B60" s="9">
        <v>1</v>
      </c>
      <c r="C60" s="17">
        <v>2</v>
      </c>
      <c r="D60" s="20"/>
      <c r="E60" s="18">
        <v>45180</v>
      </c>
      <c r="F60" s="18" t="s">
        <v>364</v>
      </c>
      <c r="G60" s="20" t="s">
        <v>66</v>
      </c>
      <c r="H60" s="19">
        <v>0</v>
      </c>
      <c r="I60" s="20" t="s">
        <v>8</v>
      </c>
      <c r="J60" s="20" t="s">
        <v>7</v>
      </c>
      <c r="K60" s="21" t="s">
        <v>9</v>
      </c>
      <c r="L60" s="20">
        <f t="shared" si="0"/>
        <v>697</v>
      </c>
      <c r="M60" s="4" t="str">
        <f>IF(Table3[[#This Row],[Afrondingsdatum YB]]="N/A","-",Table3[[#This Row],[Afrondingsdatum YB]]-Table3[[#This Row],[StartDatum]])</f>
        <v>-</v>
      </c>
      <c r="N60" s="4"/>
      <c r="O60">
        <f t="shared" si="5"/>
        <v>121</v>
      </c>
      <c r="P60">
        <f t="shared" si="5"/>
        <v>97</v>
      </c>
      <c r="Q60">
        <f t="shared" si="5"/>
        <v>115</v>
      </c>
      <c r="R60">
        <f t="shared" si="5"/>
        <v>105</v>
      </c>
      <c r="S60">
        <f t="shared" si="5"/>
        <v>110</v>
      </c>
      <c r="T60">
        <f t="shared" si="5"/>
        <v>46</v>
      </c>
      <c r="U60">
        <f t="shared" si="5"/>
        <v>103</v>
      </c>
      <c r="V60">
        <f t="shared" si="5"/>
        <v>111</v>
      </c>
      <c r="W60" s="5">
        <f t="shared" si="3"/>
        <v>911</v>
      </c>
      <c r="X60" s="9" t="str">
        <f t="shared" si="4"/>
        <v>a911</v>
      </c>
    </row>
    <row r="61" spans="1:24" x14ac:dyDescent="0.2">
      <c r="A61" s="9" t="s">
        <v>425</v>
      </c>
      <c r="B61" s="9">
        <v>1</v>
      </c>
      <c r="C61" s="22">
        <v>2</v>
      </c>
      <c r="D61" s="25"/>
      <c r="E61" s="23">
        <v>45180</v>
      </c>
      <c r="F61" s="23" t="s">
        <v>364</v>
      </c>
      <c r="G61" s="25" t="s">
        <v>67</v>
      </c>
      <c r="H61" s="24">
        <v>0</v>
      </c>
      <c r="I61" s="25" t="s">
        <v>8</v>
      </c>
      <c r="J61" s="25" t="s">
        <v>7</v>
      </c>
      <c r="K61" s="26" t="s">
        <v>9</v>
      </c>
      <c r="L61" s="25">
        <f t="shared" si="0"/>
        <v>764</v>
      </c>
      <c r="M61" s="4" t="str">
        <f>IF(Table3[[#This Row],[Afrondingsdatum YB]]="N/A","-",Table3[[#This Row],[Afrondingsdatum YB]]-Table3[[#This Row],[StartDatum]])</f>
        <v>-</v>
      </c>
      <c r="N61" s="4"/>
      <c r="O61">
        <f t="shared" si="5"/>
        <v>121</v>
      </c>
      <c r="P61">
        <f t="shared" si="5"/>
        <v>97</v>
      </c>
      <c r="Q61">
        <f t="shared" si="5"/>
        <v>115</v>
      </c>
      <c r="R61">
        <f t="shared" si="5"/>
        <v>115</v>
      </c>
      <c r="S61">
        <f t="shared" si="5"/>
        <v>105</v>
      </c>
      <c r="T61">
        <f t="shared" si="5"/>
        <v>110</v>
      </c>
      <c r="U61">
        <f t="shared" si="5"/>
        <v>101</v>
      </c>
      <c r="V61">
        <f t="shared" si="5"/>
        <v>46</v>
      </c>
      <c r="W61" s="5">
        <f t="shared" si="3"/>
        <v>905</v>
      </c>
      <c r="X61" s="9" t="str">
        <f t="shared" si="4"/>
        <v>a905</v>
      </c>
    </row>
    <row r="62" spans="1:24" x14ac:dyDescent="0.2">
      <c r="A62" s="9" t="s">
        <v>425</v>
      </c>
      <c r="B62" s="9">
        <v>1</v>
      </c>
      <c r="C62" s="17">
        <v>2</v>
      </c>
      <c r="D62" s="20"/>
      <c r="E62" s="18">
        <v>45180</v>
      </c>
      <c r="F62" s="18" t="s">
        <v>363</v>
      </c>
      <c r="G62" s="20" t="s">
        <v>68</v>
      </c>
      <c r="H62" s="19">
        <v>0</v>
      </c>
      <c r="I62" s="20" t="s">
        <v>8</v>
      </c>
      <c r="J62" s="20" t="s">
        <v>7</v>
      </c>
      <c r="K62" s="21" t="s">
        <v>9</v>
      </c>
      <c r="L62" s="20">
        <f t="shared" si="0"/>
        <v>721</v>
      </c>
      <c r="M62" s="4" t="str">
        <f>IF(Table3[[#This Row],[Afrondingsdatum YB]]="N/A","-",Table3[[#This Row],[Afrondingsdatum YB]]-Table3[[#This Row],[StartDatum]])</f>
        <v>-</v>
      </c>
      <c r="N62" s="4"/>
      <c r="O62">
        <f t="shared" si="5"/>
        <v>121</v>
      </c>
      <c r="P62">
        <f t="shared" si="5"/>
        <v>111</v>
      </c>
      <c r="Q62">
        <f t="shared" si="5"/>
        <v>117</v>
      </c>
      <c r="R62">
        <f t="shared" si="5"/>
        <v>114</v>
      </c>
      <c r="S62">
        <f t="shared" si="5"/>
        <v>105</v>
      </c>
      <c r="T62">
        <f t="shared" si="5"/>
        <v>46</v>
      </c>
      <c r="U62">
        <f t="shared" si="5"/>
        <v>107</v>
      </c>
      <c r="V62">
        <f t="shared" si="5"/>
        <v>101</v>
      </c>
      <c r="W62" s="5">
        <f t="shared" si="3"/>
        <v>915</v>
      </c>
      <c r="X62" s="9" t="str">
        <f t="shared" si="4"/>
        <v>o915</v>
      </c>
    </row>
    <row r="63" spans="1:24" x14ac:dyDescent="0.2">
      <c r="A63" s="9" t="s">
        <v>425</v>
      </c>
      <c r="B63" s="9">
        <v>1</v>
      </c>
      <c r="C63" s="22">
        <v>3</v>
      </c>
      <c r="D63" s="25"/>
      <c r="E63" s="23">
        <v>45187</v>
      </c>
      <c r="F63" s="23" t="s">
        <v>363</v>
      </c>
      <c r="G63" s="25" t="s">
        <v>10</v>
      </c>
      <c r="H63" s="24">
        <v>0.05</v>
      </c>
      <c r="I63" s="25" t="s">
        <v>70</v>
      </c>
      <c r="J63" s="25" t="s">
        <v>7</v>
      </c>
      <c r="K63" s="25" t="s">
        <v>9</v>
      </c>
      <c r="L63" s="25">
        <f t="shared" si="0"/>
        <v>662</v>
      </c>
      <c r="M63" s="4" t="str">
        <f>IF(Table3[[#This Row],[Afrondingsdatum YB]]="N/A","-",Table3[[#This Row],[Afrondingsdatum YB]]-Table3[[#This Row],[StartDatum]])</f>
        <v>-</v>
      </c>
      <c r="N63" s="4"/>
      <c r="O63">
        <f t="shared" si="5"/>
        <v>97</v>
      </c>
      <c r="P63">
        <f t="shared" si="5"/>
        <v>100</v>
      </c>
      <c r="Q63">
        <f t="shared" si="5"/>
        <v>97</v>
      </c>
      <c r="R63">
        <f t="shared" si="5"/>
        <v>109</v>
      </c>
      <c r="S63">
        <f t="shared" si="5"/>
        <v>46</v>
      </c>
      <c r="T63">
        <f t="shared" si="5"/>
        <v>97</v>
      </c>
      <c r="U63">
        <f t="shared" si="5"/>
        <v>116</v>
      </c>
      <c r="V63">
        <f t="shared" si="5"/>
        <v>116</v>
      </c>
      <c r="W63" s="5">
        <f t="shared" si="3"/>
        <v>840</v>
      </c>
      <c r="X63" s="9" t="str">
        <f t="shared" si="4"/>
        <v>d840</v>
      </c>
    </row>
    <row r="64" spans="1:24" x14ac:dyDescent="0.2">
      <c r="A64" s="9" t="s">
        <v>425</v>
      </c>
      <c r="B64" s="9">
        <v>1</v>
      </c>
      <c r="C64" s="17">
        <v>3</v>
      </c>
      <c r="D64" s="20"/>
      <c r="E64" s="18">
        <v>45187</v>
      </c>
      <c r="F64" s="18" t="s">
        <v>362</v>
      </c>
      <c r="G64" s="20" t="s">
        <v>11</v>
      </c>
      <c r="H64" s="19">
        <v>0</v>
      </c>
      <c r="I64" s="20" t="s">
        <v>8</v>
      </c>
      <c r="J64" s="20" t="s">
        <v>7</v>
      </c>
      <c r="K64" s="20" t="s">
        <v>9</v>
      </c>
      <c r="L64" s="20">
        <f t="shared" si="0"/>
        <v>641</v>
      </c>
      <c r="M64" s="4" t="str">
        <f>IF(Table3[[#This Row],[Afrondingsdatum YB]]="N/A","-",Table3[[#This Row],[Afrondingsdatum YB]]-Table3[[#This Row],[StartDatum]])</f>
        <v>-</v>
      </c>
      <c r="N64" s="4"/>
      <c r="O64">
        <f t="shared" si="5"/>
        <v>65</v>
      </c>
      <c r="P64">
        <f t="shared" si="5"/>
        <v>100</v>
      </c>
      <c r="Q64">
        <f t="shared" si="5"/>
        <v>105</v>
      </c>
      <c r="R64">
        <f t="shared" si="5"/>
        <v>108</v>
      </c>
      <c r="S64">
        <f t="shared" si="5"/>
        <v>46</v>
      </c>
      <c r="T64">
        <f t="shared" si="5"/>
        <v>106</v>
      </c>
      <c r="U64">
        <f t="shared" si="5"/>
        <v>111</v>
      </c>
      <c r="V64">
        <f t="shared" si="5"/>
        <v>117</v>
      </c>
      <c r="W64" s="5">
        <f t="shared" si="3"/>
        <v>837</v>
      </c>
      <c r="X64" s="9" t="str">
        <f t="shared" si="4"/>
        <v>d837</v>
      </c>
    </row>
    <row r="65" spans="1:24" x14ac:dyDescent="0.2">
      <c r="A65" s="9" t="s">
        <v>425</v>
      </c>
      <c r="B65" s="9">
        <v>1</v>
      </c>
      <c r="C65" s="22">
        <v>3</v>
      </c>
      <c r="D65" s="25"/>
      <c r="E65" s="23">
        <v>45187</v>
      </c>
      <c r="F65" s="23" t="s">
        <v>364</v>
      </c>
      <c r="G65" s="25" t="s">
        <v>12</v>
      </c>
      <c r="H65" s="24">
        <v>0</v>
      </c>
      <c r="I65" s="25" t="s">
        <v>8</v>
      </c>
      <c r="J65" s="25" t="s">
        <v>7</v>
      </c>
      <c r="K65" s="25" t="s">
        <v>9</v>
      </c>
      <c r="L65" s="25">
        <f t="shared" si="0"/>
        <v>677</v>
      </c>
      <c r="M65" s="4" t="str">
        <f>IF(Table3[[#This Row],[Afrondingsdatum YB]]="N/A","-",Table3[[#This Row],[Afrondingsdatum YB]]-Table3[[#This Row],[StartDatum]])</f>
        <v>-</v>
      </c>
      <c r="N65" s="4"/>
      <c r="O65">
        <f t="shared" si="5"/>
        <v>97</v>
      </c>
      <c r="P65">
        <f t="shared" si="5"/>
        <v>103</v>
      </c>
      <c r="Q65">
        <f t="shared" si="5"/>
        <v>104</v>
      </c>
      <c r="R65">
        <f t="shared" si="5"/>
        <v>105</v>
      </c>
      <c r="S65">
        <f t="shared" si="5"/>
        <v>108</v>
      </c>
      <c r="T65">
        <f t="shared" si="5"/>
        <v>46</v>
      </c>
      <c r="U65">
        <f t="shared" si="5"/>
        <v>114</v>
      </c>
      <c r="V65">
        <f t="shared" si="5"/>
        <v>101</v>
      </c>
      <c r="W65" s="5">
        <f t="shared" si="3"/>
        <v>856</v>
      </c>
      <c r="X65" s="9" t="str">
        <f t="shared" si="4"/>
        <v>g856</v>
      </c>
    </row>
    <row r="66" spans="1:24" x14ac:dyDescent="0.2">
      <c r="A66" s="9" t="s">
        <v>425</v>
      </c>
      <c r="B66" s="9">
        <v>1</v>
      </c>
      <c r="C66" s="22">
        <v>3</v>
      </c>
      <c r="D66" s="25"/>
      <c r="E66" s="18">
        <v>45187</v>
      </c>
      <c r="F66" s="18" t="s">
        <v>364</v>
      </c>
      <c r="G66" s="20" t="s">
        <v>13</v>
      </c>
      <c r="H66" s="19">
        <v>0.14000000000000001</v>
      </c>
      <c r="I66" s="20" t="s">
        <v>71</v>
      </c>
      <c r="J66" s="20" t="s">
        <v>7</v>
      </c>
      <c r="K66" s="20" t="s">
        <v>9</v>
      </c>
      <c r="L66" s="20">
        <f t="shared" ref="L66:L129" si="6">SUM(O66:U66)</f>
        <v>669</v>
      </c>
      <c r="M66" s="4" t="str">
        <f>IF(Table3[[#This Row],[Afrondingsdatum YB]]="N/A","-",Table3[[#This Row],[Afrondingsdatum YB]]-Table3[[#This Row],[StartDatum]])</f>
        <v>-</v>
      </c>
      <c r="N66" s="4"/>
      <c r="O66">
        <f t="shared" si="5"/>
        <v>97</v>
      </c>
      <c r="P66">
        <f t="shared" si="5"/>
        <v>109</v>
      </c>
      <c r="Q66">
        <f t="shared" si="5"/>
        <v>105</v>
      </c>
      <c r="R66">
        <f t="shared" si="5"/>
        <v>110</v>
      </c>
      <c r="S66">
        <f t="shared" si="5"/>
        <v>101</v>
      </c>
      <c r="T66">
        <f t="shared" si="5"/>
        <v>46</v>
      </c>
      <c r="U66">
        <f t="shared" si="5"/>
        <v>101</v>
      </c>
      <c r="V66">
        <f t="shared" si="5"/>
        <v>108</v>
      </c>
      <c r="W66" s="5">
        <f t="shared" si="3"/>
        <v>850</v>
      </c>
      <c r="X66" s="9" t="str">
        <f t="shared" si="4"/>
        <v>m850</v>
      </c>
    </row>
    <row r="67" spans="1:24" x14ac:dyDescent="0.2">
      <c r="A67" s="9" t="s">
        <v>425</v>
      </c>
      <c r="B67" s="9">
        <v>1</v>
      </c>
      <c r="C67" s="22">
        <v>3</v>
      </c>
      <c r="D67" s="25"/>
      <c r="E67" s="23">
        <v>45187</v>
      </c>
      <c r="F67" s="23" t="s">
        <v>363</v>
      </c>
      <c r="G67" s="25" t="s">
        <v>14</v>
      </c>
      <c r="H67" s="24">
        <v>0</v>
      </c>
      <c r="I67" s="25" t="s">
        <v>8</v>
      </c>
      <c r="J67" s="25" t="s">
        <v>7</v>
      </c>
      <c r="K67" s="25" t="s">
        <v>9</v>
      </c>
      <c r="L67" s="25">
        <f t="shared" si="6"/>
        <v>676</v>
      </c>
      <c r="M67" s="4" t="str">
        <f>IF(Table3[[#This Row],[Afrondingsdatum YB]]="N/A","-",Table3[[#This Row],[Afrondingsdatum YB]]-Table3[[#This Row],[StartDatum]])</f>
        <v>-</v>
      </c>
      <c r="N67" s="4"/>
      <c r="O67">
        <f t="shared" si="5"/>
        <v>97</v>
      </c>
      <c r="P67">
        <f t="shared" si="5"/>
        <v>110</v>
      </c>
      <c r="Q67">
        <f t="shared" si="5"/>
        <v>103</v>
      </c>
      <c r="R67">
        <f t="shared" si="5"/>
        <v>101</v>
      </c>
      <c r="S67">
        <f t="shared" si="5"/>
        <v>108</v>
      </c>
      <c r="T67">
        <f t="shared" si="5"/>
        <v>111</v>
      </c>
      <c r="U67">
        <f t="shared" si="5"/>
        <v>46</v>
      </c>
      <c r="V67">
        <f t="shared" si="5"/>
        <v>115</v>
      </c>
      <c r="W67" s="5">
        <f t="shared" ref="W67:W130" si="7">ROUND((O67*O$1+P67/P$1+Q67*Q$1+R67/R$1)+SUM(S67:V67),0)</f>
        <v>866</v>
      </c>
      <c r="X67" s="9" t="str">
        <f t="shared" ref="X67:X130" si="8">MID(G67,2,1)&amp;TEXT(W67,"###")</f>
        <v>n866</v>
      </c>
    </row>
    <row r="68" spans="1:24" x14ac:dyDescent="0.2">
      <c r="A68" s="9" t="s">
        <v>425</v>
      </c>
      <c r="B68" s="9">
        <v>1</v>
      </c>
      <c r="C68" s="22">
        <v>3</v>
      </c>
      <c r="D68" s="25"/>
      <c r="E68" s="18">
        <v>45187</v>
      </c>
      <c r="F68" s="18" t="s">
        <v>362</v>
      </c>
      <c r="G68" s="20" t="s">
        <v>15</v>
      </c>
      <c r="H68" s="19">
        <v>0</v>
      </c>
      <c r="I68" s="20" t="s">
        <v>8</v>
      </c>
      <c r="J68" s="20" t="s">
        <v>7</v>
      </c>
      <c r="K68" s="20" t="s">
        <v>9</v>
      </c>
      <c r="L68" s="20">
        <f t="shared" si="6"/>
        <v>755</v>
      </c>
      <c r="M68" s="4" t="str">
        <f>IF(Table3[[#This Row],[Afrondingsdatum YB]]="N/A","-",Table3[[#This Row],[Afrondingsdatum YB]]-Table3[[#This Row],[StartDatum]])</f>
        <v>-</v>
      </c>
      <c r="N68" s="4"/>
      <c r="O68">
        <f t="shared" si="5"/>
        <v>97</v>
      </c>
      <c r="P68">
        <f t="shared" si="5"/>
        <v>115</v>
      </c>
      <c r="Q68">
        <f t="shared" si="5"/>
        <v>104</v>
      </c>
      <c r="R68">
        <f t="shared" si="5"/>
        <v>111</v>
      </c>
      <c r="S68">
        <f t="shared" si="5"/>
        <v>101</v>
      </c>
      <c r="T68">
        <f t="shared" si="5"/>
        <v>116</v>
      </c>
      <c r="U68">
        <f t="shared" si="5"/>
        <v>111</v>
      </c>
      <c r="V68">
        <f t="shared" si="5"/>
        <v>115</v>
      </c>
      <c r="W68" s="5">
        <f t="shared" si="7"/>
        <v>937</v>
      </c>
      <c r="X68" s="9" t="str">
        <f t="shared" si="8"/>
        <v>s937</v>
      </c>
    </row>
    <row r="69" spans="1:24" x14ac:dyDescent="0.2">
      <c r="A69" s="9" t="s">
        <v>425</v>
      </c>
      <c r="B69" s="9">
        <v>1</v>
      </c>
      <c r="C69" s="22">
        <v>3</v>
      </c>
      <c r="D69" s="25"/>
      <c r="E69" s="23">
        <v>45187</v>
      </c>
      <c r="F69" s="23" t="s">
        <v>364</v>
      </c>
      <c r="G69" s="25" t="s">
        <v>16</v>
      </c>
      <c r="H69" s="24">
        <v>0</v>
      </c>
      <c r="I69" s="25" t="s">
        <v>8</v>
      </c>
      <c r="J69" s="25" t="s">
        <v>7</v>
      </c>
      <c r="K69" s="25" t="s">
        <v>9</v>
      </c>
      <c r="L69" s="25">
        <f t="shared" si="6"/>
        <v>672</v>
      </c>
      <c r="M69" s="4" t="str">
        <f>IF(Table3[[#This Row],[Afrondingsdatum YB]]="N/A","-",Table3[[#This Row],[Afrondingsdatum YB]]-Table3[[#This Row],[StartDatum]])</f>
        <v>-</v>
      </c>
      <c r="N69" s="4"/>
      <c r="O69">
        <f t="shared" si="5"/>
        <v>97</v>
      </c>
      <c r="P69">
        <f t="shared" si="5"/>
        <v>121</v>
      </c>
      <c r="Q69">
        <f t="shared" si="5"/>
        <v>100</v>
      </c>
      <c r="R69">
        <f t="shared" si="5"/>
        <v>101</v>
      </c>
      <c r="S69">
        <f t="shared" si="5"/>
        <v>110</v>
      </c>
      <c r="T69">
        <f t="shared" si="5"/>
        <v>46</v>
      </c>
      <c r="U69">
        <f t="shared" si="5"/>
        <v>97</v>
      </c>
      <c r="V69">
        <f t="shared" si="5"/>
        <v>110</v>
      </c>
      <c r="W69" s="5">
        <f t="shared" si="7"/>
        <v>846</v>
      </c>
      <c r="X69" s="9" t="str">
        <f t="shared" si="8"/>
        <v>y846</v>
      </c>
    </row>
    <row r="70" spans="1:24" x14ac:dyDescent="0.2">
      <c r="A70" s="9" t="s">
        <v>425</v>
      </c>
      <c r="B70" s="9">
        <v>1</v>
      </c>
      <c r="C70" s="22">
        <v>3</v>
      </c>
      <c r="D70" s="25"/>
      <c r="E70" s="18">
        <v>45187</v>
      </c>
      <c r="F70" s="18" t="s">
        <v>362</v>
      </c>
      <c r="G70" s="20" t="s">
        <v>17</v>
      </c>
      <c r="H70" s="19">
        <v>0</v>
      </c>
      <c r="I70" s="20" t="s">
        <v>8</v>
      </c>
      <c r="J70" s="20" t="s">
        <v>7</v>
      </c>
      <c r="K70" s="20" t="s">
        <v>9</v>
      </c>
      <c r="L70" s="20">
        <f t="shared" si="6"/>
        <v>707</v>
      </c>
      <c r="M70" s="4" t="str">
        <f>IF(Table3[[#This Row],[Afrondingsdatum YB]]="N/A","-",Table3[[#This Row],[Afrondingsdatum YB]]-Table3[[#This Row],[StartDatum]])</f>
        <v>-</v>
      </c>
      <c r="N70" s="4"/>
      <c r="O70">
        <f t="shared" si="5"/>
        <v>98</v>
      </c>
      <c r="P70">
        <f t="shared" si="5"/>
        <v>101</v>
      </c>
      <c r="Q70">
        <f t="shared" si="5"/>
        <v>116</v>
      </c>
      <c r="R70">
        <f t="shared" si="5"/>
        <v>117</v>
      </c>
      <c r="S70">
        <f t="shared" si="5"/>
        <v>108</v>
      </c>
      <c r="T70">
        <f t="shared" si="5"/>
        <v>46</v>
      </c>
      <c r="U70">
        <f t="shared" si="5"/>
        <v>121</v>
      </c>
      <c r="V70">
        <f t="shared" si="5"/>
        <v>117</v>
      </c>
      <c r="W70" s="5">
        <f t="shared" si="7"/>
        <v>918</v>
      </c>
      <c r="X70" s="9" t="str">
        <f t="shared" si="8"/>
        <v>e918</v>
      </c>
    </row>
    <row r="71" spans="1:24" x14ac:dyDescent="0.2">
      <c r="A71" s="9" t="s">
        <v>425</v>
      </c>
      <c r="B71" s="9">
        <v>1</v>
      </c>
      <c r="C71" s="22">
        <v>3</v>
      </c>
      <c r="D71" s="25"/>
      <c r="E71" s="23">
        <v>45187</v>
      </c>
      <c r="F71" s="23" t="s">
        <v>363</v>
      </c>
      <c r="G71" s="25" t="s">
        <v>18</v>
      </c>
      <c r="H71" s="24">
        <v>0</v>
      </c>
      <c r="I71" s="25" t="s">
        <v>8</v>
      </c>
      <c r="J71" s="25" t="s">
        <v>7</v>
      </c>
      <c r="K71" s="25" t="s">
        <v>9</v>
      </c>
      <c r="L71" s="25">
        <f t="shared" si="6"/>
        <v>687</v>
      </c>
      <c r="M71" s="4" t="str">
        <f>IF(Table3[[#This Row],[Afrondingsdatum YB]]="N/A","-",Table3[[#This Row],[Afrondingsdatum YB]]-Table3[[#This Row],[StartDatum]])</f>
        <v>-</v>
      </c>
      <c r="N71" s="4"/>
      <c r="O71">
        <f t="shared" si="5"/>
        <v>98</v>
      </c>
      <c r="P71">
        <f t="shared" si="5"/>
        <v>114</v>
      </c>
      <c r="Q71">
        <f t="shared" si="5"/>
        <v>101</v>
      </c>
      <c r="R71">
        <f t="shared" si="5"/>
        <v>116</v>
      </c>
      <c r="S71">
        <f t="shared" si="5"/>
        <v>104</v>
      </c>
      <c r="T71">
        <f t="shared" si="5"/>
        <v>46</v>
      </c>
      <c r="U71">
        <f t="shared" si="5"/>
        <v>108</v>
      </c>
      <c r="V71">
        <f t="shared" si="5"/>
        <v>97</v>
      </c>
      <c r="W71" s="5">
        <f t="shared" si="7"/>
        <v>842</v>
      </c>
      <c r="X71" s="9" t="str">
        <f t="shared" si="8"/>
        <v>r842</v>
      </c>
    </row>
    <row r="72" spans="1:24" x14ac:dyDescent="0.2">
      <c r="A72" s="9" t="s">
        <v>425</v>
      </c>
      <c r="B72" s="9">
        <v>1</v>
      </c>
      <c r="C72" s="22">
        <v>3</v>
      </c>
      <c r="D72" s="25"/>
      <c r="E72" s="18">
        <v>45187</v>
      </c>
      <c r="F72" s="18" t="s">
        <v>364</v>
      </c>
      <c r="G72" s="20" t="s">
        <v>19</v>
      </c>
      <c r="H72" s="19">
        <v>0</v>
      </c>
      <c r="I72" s="20" t="s">
        <v>8</v>
      </c>
      <c r="J72" s="20" t="s">
        <v>7</v>
      </c>
      <c r="K72" s="20" t="s">
        <v>9</v>
      </c>
      <c r="L72" s="20">
        <f t="shared" si="6"/>
        <v>733</v>
      </c>
      <c r="M72" s="4" t="str">
        <f>IF(Table3[[#This Row],[Afrondingsdatum YB]]="N/A","-",Table3[[#This Row],[Afrondingsdatum YB]]-Table3[[#This Row],[StartDatum]])</f>
        <v>-</v>
      </c>
      <c r="N72" s="4"/>
      <c r="O72">
        <f t="shared" si="5"/>
        <v>99</v>
      </c>
      <c r="P72">
        <f t="shared" si="5"/>
        <v>104</v>
      </c>
      <c r="Q72">
        <f t="shared" si="5"/>
        <v>97</v>
      </c>
      <c r="R72">
        <f t="shared" si="5"/>
        <v>114</v>
      </c>
      <c r="S72">
        <f t="shared" si="5"/>
        <v>108</v>
      </c>
      <c r="T72">
        <f t="shared" si="5"/>
        <v>101</v>
      </c>
      <c r="U72">
        <f t="shared" si="5"/>
        <v>110</v>
      </c>
      <c r="V72">
        <f t="shared" si="5"/>
        <v>101</v>
      </c>
      <c r="W72" s="5">
        <f t="shared" si="7"/>
        <v>891</v>
      </c>
      <c r="X72" s="9" t="str">
        <f t="shared" si="8"/>
        <v>h891</v>
      </c>
    </row>
    <row r="73" spans="1:24" x14ac:dyDescent="0.2">
      <c r="A73" s="9" t="s">
        <v>425</v>
      </c>
      <c r="B73" s="9">
        <v>1</v>
      </c>
      <c r="C73" s="22">
        <v>3</v>
      </c>
      <c r="D73" s="25"/>
      <c r="E73" s="23">
        <v>45187</v>
      </c>
      <c r="F73" s="23" t="s">
        <v>364</v>
      </c>
      <c r="G73" s="25" t="s">
        <v>20</v>
      </c>
      <c r="H73" s="24">
        <v>0</v>
      </c>
      <c r="I73" s="25" t="s">
        <v>8</v>
      </c>
      <c r="J73" s="25" t="s">
        <v>7</v>
      </c>
      <c r="K73" s="25" t="s">
        <v>9</v>
      </c>
      <c r="L73" s="25">
        <f t="shared" si="6"/>
        <v>668</v>
      </c>
      <c r="M73" s="4" t="str">
        <f>IF(Table3[[#This Row],[Afrondingsdatum YB]]="N/A","-",Table3[[#This Row],[Afrondingsdatum YB]]-Table3[[#This Row],[StartDatum]])</f>
        <v>-</v>
      </c>
      <c r="N73" s="4"/>
      <c r="O73">
        <f t="shared" si="5"/>
        <v>99</v>
      </c>
      <c r="P73">
        <f t="shared" si="5"/>
        <v>104</v>
      </c>
      <c r="Q73">
        <f t="shared" si="5"/>
        <v>101</v>
      </c>
      <c r="R73">
        <f t="shared" si="5"/>
        <v>110</v>
      </c>
      <c r="S73">
        <f t="shared" si="5"/>
        <v>111</v>
      </c>
      <c r="T73">
        <f t="shared" si="5"/>
        <v>97</v>
      </c>
      <c r="U73">
        <f t="shared" si="5"/>
        <v>46</v>
      </c>
      <c r="V73">
        <f t="shared" si="5"/>
        <v>118</v>
      </c>
      <c r="W73" s="5">
        <f t="shared" si="7"/>
        <v>854</v>
      </c>
      <c r="X73" s="9" t="str">
        <f t="shared" si="8"/>
        <v>h854</v>
      </c>
    </row>
    <row r="74" spans="1:24" x14ac:dyDescent="0.2">
      <c r="A74" s="9" t="s">
        <v>425</v>
      </c>
      <c r="B74" s="9">
        <v>1</v>
      </c>
      <c r="C74" s="22">
        <v>3</v>
      </c>
      <c r="D74" s="25"/>
      <c r="E74" s="18">
        <v>45187</v>
      </c>
      <c r="F74" s="18" t="s">
        <v>364</v>
      </c>
      <c r="G74" s="20" t="s">
        <v>21</v>
      </c>
      <c r="H74" s="19">
        <v>0</v>
      </c>
      <c r="I74" s="20" t="s">
        <v>8</v>
      </c>
      <c r="J74" s="20" t="s">
        <v>7</v>
      </c>
      <c r="K74" s="20" t="s">
        <v>9</v>
      </c>
      <c r="L74" s="20">
        <f t="shared" si="6"/>
        <v>681</v>
      </c>
      <c r="M74" s="4" t="str">
        <f>IF(Table3[[#This Row],[Afrondingsdatum YB]]="N/A","-",Table3[[#This Row],[Afrondingsdatum YB]]-Table3[[#This Row],[StartDatum]])</f>
        <v>-</v>
      </c>
      <c r="N74" s="4"/>
      <c r="O74">
        <f t="shared" si="5"/>
        <v>100</v>
      </c>
      <c r="P74">
        <f t="shared" si="5"/>
        <v>97</v>
      </c>
      <c r="Q74">
        <f t="shared" si="5"/>
        <v>115</v>
      </c>
      <c r="R74">
        <f t="shared" si="5"/>
        <v>116</v>
      </c>
      <c r="S74">
        <f t="shared" si="5"/>
        <v>97</v>
      </c>
      <c r="T74">
        <f t="shared" si="5"/>
        <v>110</v>
      </c>
      <c r="U74">
        <f t="shared" si="5"/>
        <v>46</v>
      </c>
      <c r="V74">
        <f t="shared" si="5"/>
        <v>109</v>
      </c>
      <c r="W74" s="5">
        <f t="shared" si="7"/>
        <v>885</v>
      </c>
      <c r="X74" s="9" t="str">
        <f t="shared" si="8"/>
        <v>a885</v>
      </c>
    </row>
    <row r="75" spans="1:24" x14ac:dyDescent="0.2">
      <c r="A75" s="9" t="s">
        <v>425</v>
      </c>
      <c r="B75" s="9">
        <v>1</v>
      </c>
      <c r="C75" s="22">
        <v>3</v>
      </c>
      <c r="D75" s="25"/>
      <c r="E75" s="23">
        <v>45187</v>
      </c>
      <c r="F75" s="23" t="s">
        <v>363</v>
      </c>
      <c r="G75" s="25" t="s">
        <v>22</v>
      </c>
      <c r="H75" s="24">
        <v>0.15</v>
      </c>
      <c r="I75" s="25" t="s">
        <v>72</v>
      </c>
      <c r="J75" s="25" t="s">
        <v>7</v>
      </c>
      <c r="K75" s="25" t="s">
        <v>9</v>
      </c>
      <c r="L75" s="25">
        <f t="shared" si="6"/>
        <v>676</v>
      </c>
      <c r="M75" s="4" t="str">
        <f>IF(Table3[[#This Row],[Afrondingsdatum YB]]="N/A","-",Table3[[#This Row],[Afrondingsdatum YB]]-Table3[[#This Row],[StartDatum]])</f>
        <v>-</v>
      </c>
      <c r="N75" s="4"/>
      <c r="O75">
        <f t="shared" si="5"/>
        <v>100</v>
      </c>
      <c r="P75">
        <f t="shared" si="5"/>
        <v>101</v>
      </c>
      <c r="Q75">
        <f t="shared" si="5"/>
        <v>109</v>
      </c>
      <c r="R75">
        <f t="shared" si="5"/>
        <v>105</v>
      </c>
      <c r="S75">
        <f t="shared" si="5"/>
        <v>46</v>
      </c>
      <c r="T75">
        <f t="shared" si="5"/>
        <v>118</v>
      </c>
      <c r="U75">
        <f t="shared" si="5"/>
        <v>97</v>
      </c>
      <c r="V75">
        <f t="shared" si="5"/>
        <v>110</v>
      </c>
      <c r="W75" s="5">
        <f t="shared" si="7"/>
        <v>875</v>
      </c>
      <c r="X75" s="9" t="str">
        <f t="shared" si="8"/>
        <v>e875</v>
      </c>
    </row>
    <row r="76" spans="1:24" x14ac:dyDescent="0.2">
      <c r="A76" s="9" t="s">
        <v>425</v>
      </c>
      <c r="B76" s="9">
        <v>1</v>
      </c>
      <c r="C76" s="22">
        <v>3</v>
      </c>
      <c r="D76" s="25"/>
      <c r="E76" s="18">
        <v>45187</v>
      </c>
      <c r="F76" s="18" t="s">
        <v>363</v>
      </c>
      <c r="G76" s="20" t="s">
        <v>23</v>
      </c>
      <c r="H76" s="19">
        <v>0</v>
      </c>
      <c r="I76" s="20" t="s">
        <v>8</v>
      </c>
      <c r="J76" s="20" t="s">
        <v>7</v>
      </c>
      <c r="K76" s="20" t="s">
        <v>9</v>
      </c>
      <c r="L76" s="20">
        <f t="shared" si="6"/>
        <v>681</v>
      </c>
      <c r="M76" s="4" t="str">
        <f>IF(Table3[[#This Row],[Afrondingsdatum YB]]="N/A","-",Table3[[#This Row],[Afrondingsdatum YB]]-Table3[[#This Row],[StartDatum]])</f>
        <v>-</v>
      </c>
      <c r="N76" s="4"/>
      <c r="O76">
        <f t="shared" si="5"/>
        <v>101</v>
      </c>
      <c r="P76">
        <f t="shared" si="5"/>
        <v>108</v>
      </c>
      <c r="Q76">
        <f t="shared" si="5"/>
        <v>105</v>
      </c>
      <c r="R76">
        <f t="shared" si="5"/>
        <v>122</v>
      </c>
      <c r="S76">
        <f t="shared" si="5"/>
        <v>101</v>
      </c>
      <c r="T76">
        <f t="shared" si="5"/>
        <v>46</v>
      </c>
      <c r="U76">
        <f t="shared" si="5"/>
        <v>98</v>
      </c>
      <c r="V76">
        <f t="shared" si="5"/>
        <v>97</v>
      </c>
      <c r="W76" s="5">
        <f t="shared" si="7"/>
        <v>843</v>
      </c>
      <c r="X76" s="9" t="str">
        <f t="shared" si="8"/>
        <v>l843</v>
      </c>
    </row>
    <row r="77" spans="1:24" x14ac:dyDescent="0.2">
      <c r="A77" s="9" t="s">
        <v>425</v>
      </c>
      <c r="B77" s="9">
        <v>1</v>
      </c>
      <c r="C77" s="22">
        <v>3</v>
      </c>
      <c r="D77" s="25"/>
      <c r="E77" s="23">
        <v>45187</v>
      </c>
      <c r="F77" s="23" t="s">
        <v>363</v>
      </c>
      <c r="G77" s="25" t="s">
        <v>24</v>
      </c>
      <c r="H77" s="24">
        <v>0</v>
      </c>
      <c r="I77" s="25" t="s">
        <v>8</v>
      </c>
      <c r="J77" s="25" t="s">
        <v>7</v>
      </c>
      <c r="K77" s="25" t="s">
        <v>9</v>
      </c>
      <c r="L77" s="25">
        <f t="shared" si="6"/>
        <v>705</v>
      </c>
      <c r="M77" s="4" t="str">
        <f>IF(Table3[[#This Row],[Afrondingsdatum YB]]="N/A","-",Table3[[#This Row],[Afrondingsdatum YB]]-Table3[[#This Row],[StartDatum]])</f>
        <v>-</v>
      </c>
      <c r="N77" s="4"/>
      <c r="O77">
        <f t="shared" si="5"/>
        <v>102</v>
      </c>
      <c r="P77">
        <f t="shared" si="5"/>
        <v>105</v>
      </c>
      <c r="Q77">
        <f t="shared" si="5"/>
        <v>115</v>
      </c>
      <c r="R77">
        <f t="shared" si="5"/>
        <v>116</v>
      </c>
      <c r="S77">
        <f t="shared" si="5"/>
        <v>111</v>
      </c>
      <c r="T77">
        <f t="shared" si="5"/>
        <v>110</v>
      </c>
      <c r="U77">
        <f t="shared" si="5"/>
        <v>46</v>
      </c>
      <c r="V77">
        <f t="shared" si="5"/>
        <v>99</v>
      </c>
      <c r="W77" s="5">
        <f t="shared" si="7"/>
        <v>895</v>
      </c>
      <c r="X77" s="9" t="str">
        <f t="shared" si="8"/>
        <v>i895</v>
      </c>
    </row>
    <row r="78" spans="1:24" x14ac:dyDescent="0.2">
      <c r="A78" s="9" t="s">
        <v>425</v>
      </c>
      <c r="B78" s="9">
        <v>1</v>
      </c>
      <c r="C78" s="22">
        <v>3</v>
      </c>
      <c r="D78" s="25"/>
      <c r="E78" s="18">
        <v>45187</v>
      </c>
      <c r="F78" s="18" t="s">
        <v>362</v>
      </c>
      <c r="G78" s="40" t="s">
        <v>118</v>
      </c>
      <c r="H78" s="19">
        <v>0</v>
      </c>
      <c r="I78" s="20" t="s">
        <v>8</v>
      </c>
      <c r="J78" s="20" t="s">
        <v>7</v>
      </c>
      <c r="K78" s="20" t="s">
        <v>9</v>
      </c>
      <c r="L78" s="20">
        <f t="shared" si="6"/>
        <v>756</v>
      </c>
      <c r="M78" s="4" t="str">
        <f>IF(Table3[[#This Row],[Afrondingsdatum YB]]="N/A","-",Table3[[#This Row],[Afrondingsdatum YB]]-Table3[[#This Row],[StartDatum]])</f>
        <v>-</v>
      </c>
      <c r="N78" s="4"/>
      <c r="O78">
        <f t="shared" si="5"/>
        <v>103</v>
      </c>
      <c r="P78">
        <f t="shared" si="5"/>
        <v>101</v>
      </c>
      <c r="Q78">
        <f t="shared" si="5"/>
        <v>110</v>
      </c>
      <c r="R78">
        <f t="shared" si="5"/>
        <v>116</v>
      </c>
      <c r="S78">
        <f t="shared" si="5"/>
        <v>97</v>
      </c>
      <c r="T78">
        <f t="shared" si="5"/>
        <v>108</v>
      </c>
      <c r="U78">
        <f t="shared" si="5"/>
        <v>121</v>
      </c>
      <c r="V78">
        <f t="shared" si="5"/>
        <v>46</v>
      </c>
      <c r="W78" s="5">
        <f t="shared" si="7"/>
        <v>885</v>
      </c>
      <c r="X78" s="9" t="str">
        <f t="shared" si="8"/>
        <v>e885</v>
      </c>
    </row>
    <row r="79" spans="1:24" x14ac:dyDescent="0.2">
      <c r="A79" s="9" t="s">
        <v>425</v>
      </c>
      <c r="B79" s="9">
        <v>1</v>
      </c>
      <c r="C79" s="22">
        <v>3</v>
      </c>
      <c r="D79" s="25"/>
      <c r="E79" s="23">
        <v>45187</v>
      </c>
      <c r="F79" s="23" t="s">
        <v>362</v>
      </c>
      <c r="G79" s="25" t="s">
        <v>25</v>
      </c>
      <c r="H79" s="24">
        <v>0.18</v>
      </c>
      <c r="I79" s="25" t="s">
        <v>73</v>
      </c>
      <c r="J79" s="25" t="s">
        <v>7</v>
      </c>
      <c r="K79" s="25" t="s">
        <v>9</v>
      </c>
      <c r="L79" s="25">
        <f t="shared" si="6"/>
        <v>690</v>
      </c>
      <c r="M79" s="4" t="str">
        <f>IF(Table3[[#This Row],[Afrondingsdatum YB]]="N/A","-",Table3[[#This Row],[Afrondingsdatum YB]]-Table3[[#This Row],[StartDatum]])</f>
        <v>-</v>
      </c>
      <c r="N79" s="4"/>
      <c r="O79">
        <f t="shared" si="5"/>
        <v>103</v>
      </c>
      <c r="P79">
        <f t="shared" si="5"/>
        <v>108</v>
      </c>
      <c r="Q79">
        <f t="shared" si="5"/>
        <v>105</v>
      </c>
      <c r="R79">
        <f t="shared" si="5"/>
        <v>103</v>
      </c>
      <c r="S79">
        <f t="shared" si="5"/>
        <v>111</v>
      </c>
      <c r="T79">
        <f t="shared" si="5"/>
        <v>114</v>
      </c>
      <c r="U79">
        <f t="shared" si="5"/>
        <v>46</v>
      </c>
      <c r="V79">
        <f t="shared" ref="V79:V142" si="9">CODE(MID($G79,V$1,1))</f>
        <v>106</v>
      </c>
      <c r="W79" s="5">
        <f t="shared" si="7"/>
        <v>875</v>
      </c>
      <c r="X79" s="9" t="str">
        <f t="shared" si="8"/>
        <v>l875</v>
      </c>
    </row>
    <row r="80" spans="1:24" x14ac:dyDescent="0.2">
      <c r="A80" s="9" t="s">
        <v>425</v>
      </c>
      <c r="B80" s="9">
        <v>1</v>
      </c>
      <c r="C80" s="22">
        <v>3</v>
      </c>
      <c r="D80" s="25"/>
      <c r="E80" s="18">
        <v>45187</v>
      </c>
      <c r="F80" s="18" t="s">
        <v>363</v>
      </c>
      <c r="G80" s="20" t="s">
        <v>26</v>
      </c>
      <c r="H80" s="19">
        <v>0</v>
      </c>
      <c r="I80" s="20" t="s">
        <v>8</v>
      </c>
      <c r="J80" s="20" t="s">
        <v>7</v>
      </c>
      <c r="K80" s="20" t="s">
        <v>9</v>
      </c>
      <c r="L80" s="20">
        <f t="shared" si="6"/>
        <v>690</v>
      </c>
      <c r="M80" s="4" t="str">
        <f>IF(Table3[[#This Row],[Afrondingsdatum YB]]="N/A","-",Table3[[#This Row],[Afrondingsdatum YB]]-Table3[[#This Row],[StartDatum]])</f>
        <v>-</v>
      </c>
      <c r="N80" s="4"/>
      <c r="O80">
        <f t="shared" ref="O80:U116" si="10">CODE(MID($G80,O$1,1))</f>
        <v>104</v>
      </c>
      <c r="P80">
        <f t="shared" si="10"/>
        <v>97</v>
      </c>
      <c r="Q80">
        <f t="shared" si="10"/>
        <v>122</v>
      </c>
      <c r="R80">
        <f t="shared" si="10"/>
        <v>101</v>
      </c>
      <c r="S80">
        <f t="shared" si="10"/>
        <v>109</v>
      </c>
      <c r="T80">
        <f t="shared" si="10"/>
        <v>46</v>
      </c>
      <c r="U80">
        <f t="shared" si="10"/>
        <v>111</v>
      </c>
      <c r="V80">
        <f t="shared" si="9"/>
        <v>110</v>
      </c>
      <c r="W80" s="5">
        <f t="shared" si="7"/>
        <v>920</v>
      </c>
      <c r="X80" s="9" t="str">
        <f t="shared" si="8"/>
        <v>a920</v>
      </c>
    </row>
    <row r="81" spans="1:24" x14ac:dyDescent="0.2">
      <c r="A81" s="9" t="s">
        <v>425</v>
      </c>
      <c r="B81" s="9">
        <v>1</v>
      </c>
      <c r="C81" s="22">
        <v>3</v>
      </c>
      <c r="D81" s="25"/>
      <c r="E81" s="23">
        <v>45187</v>
      </c>
      <c r="F81" s="23" t="s">
        <v>364</v>
      </c>
      <c r="G81" s="25" t="s">
        <v>27</v>
      </c>
      <c r="H81" s="24">
        <v>0</v>
      </c>
      <c r="I81" s="25" t="s">
        <v>8</v>
      </c>
      <c r="J81" s="25" t="s">
        <v>7</v>
      </c>
      <c r="K81" s="25" t="s">
        <v>9</v>
      </c>
      <c r="L81" s="25">
        <f t="shared" si="6"/>
        <v>734</v>
      </c>
      <c r="M81" s="4" t="str">
        <f>IF(Table3[[#This Row],[Afrondingsdatum YB]]="N/A","-",Table3[[#This Row],[Afrondingsdatum YB]]-Table3[[#This Row],[StartDatum]])</f>
        <v>-</v>
      </c>
      <c r="N81" s="4"/>
      <c r="O81">
        <f t="shared" si="10"/>
        <v>104</v>
      </c>
      <c r="P81">
        <f t="shared" si="10"/>
        <v>101</v>
      </c>
      <c r="Q81">
        <f t="shared" si="10"/>
        <v>114</v>
      </c>
      <c r="R81">
        <f t="shared" si="10"/>
        <v>109</v>
      </c>
      <c r="S81">
        <f t="shared" si="10"/>
        <v>101</v>
      </c>
      <c r="T81">
        <f t="shared" si="10"/>
        <v>108</v>
      </c>
      <c r="U81">
        <f t="shared" si="10"/>
        <v>97</v>
      </c>
      <c r="V81">
        <f t="shared" si="9"/>
        <v>46</v>
      </c>
      <c r="W81" s="5">
        <f t="shared" si="7"/>
        <v>876</v>
      </c>
      <c r="X81" s="9" t="str">
        <f t="shared" si="8"/>
        <v>e876</v>
      </c>
    </row>
    <row r="82" spans="1:24" x14ac:dyDescent="0.2">
      <c r="A82" s="9" t="s">
        <v>425</v>
      </c>
      <c r="B82" s="9">
        <v>1</v>
      </c>
      <c r="C82" s="22">
        <v>3</v>
      </c>
      <c r="D82" s="25"/>
      <c r="E82" s="18">
        <v>45187</v>
      </c>
      <c r="F82" s="18" t="s">
        <v>364</v>
      </c>
      <c r="G82" s="20" t="s">
        <v>28</v>
      </c>
      <c r="H82" s="19">
        <v>0</v>
      </c>
      <c r="I82" s="20" t="s">
        <v>8</v>
      </c>
      <c r="J82" s="20" t="s">
        <v>7</v>
      </c>
      <c r="K82" s="20" t="s">
        <v>9</v>
      </c>
      <c r="L82" s="20">
        <f t="shared" si="6"/>
        <v>665</v>
      </c>
      <c r="M82" s="4" t="str">
        <f>IF(Table3[[#This Row],[Afrondingsdatum YB]]="N/A","-",Table3[[#This Row],[Afrondingsdatum YB]]-Table3[[#This Row],[StartDatum]])</f>
        <v>-</v>
      </c>
      <c r="N82" s="4"/>
      <c r="O82">
        <f t="shared" si="10"/>
        <v>104</v>
      </c>
      <c r="P82">
        <f t="shared" si="10"/>
        <v>117</v>
      </c>
      <c r="Q82">
        <f t="shared" si="10"/>
        <v>105</v>
      </c>
      <c r="R82">
        <f t="shared" si="10"/>
        <v>98</v>
      </c>
      <c r="S82">
        <f t="shared" si="10"/>
        <v>46</v>
      </c>
      <c r="T82">
        <f t="shared" si="10"/>
        <v>98</v>
      </c>
      <c r="U82">
        <f t="shared" si="10"/>
        <v>97</v>
      </c>
      <c r="V82">
        <f t="shared" si="9"/>
        <v>107</v>
      </c>
      <c r="W82" s="5">
        <f t="shared" si="7"/>
        <v>850</v>
      </c>
      <c r="X82" s="9" t="str">
        <f t="shared" si="8"/>
        <v>u850</v>
      </c>
    </row>
    <row r="83" spans="1:24" x14ac:dyDescent="0.2">
      <c r="A83" s="9" t="s">
        <v>425</v>
      </c>
      <c r="B83" s="9">
        <v>1</v>
      </c>
      <c r="C83" s="22">
        <v>3</v>
      </c>
      <c r="D83" s="25"/>
      <c r="E83" s="23">
        <v>45187</v>
      </c>
      <c r="F83" s="23" t="s">
        <v>363</v>
      </c>
      <c r="G83" s="25" t="s">
        <v>29</v>
      </c>
      <c r="H83" s="24">
        <v>0</v>
      </c>
      <c r="I83" s="25" t="s">
        <v>8</v>
      </c>
      <c r="J83" s="25" t="s">
        <v>7</v>
      </c>
      <c r="K83" s="25" t="s">
        <v>9</v>
      </c>
      <c r="L83" s="25">
        <f t="shared" si="6"/>
        <v>682</v>
      </c>
      <c r="M83" s="4" t="str">
        <f>IF(Table3[[#This Row],[Afrondingsdatum YB]]="N/A","-",Table3[[#This Row],[Afrondingsdatum YB]]-Table3[[#This Row],[StartDatum]])</f>
        <v>-</v>
      </c>
      <c r="N83" s="4"/>
      <c r="O83">
        <f t="shared" si="10"/>
        <v>105</v>
      </c>
      <c r="P83">
        <f t="shared" si="10"/>
        <v>107</v>
      </c>
      <c r="Q83">
        <f t="shared" si="10"/>
        <v>104</v>
      </c>
      <c r="R83">
        <f t="shared" si="10"/>
        <v>108</v>
      </c>
      <c r="S83">
        <f t="shared" si="10"/>
        <v>97</v>
      </c>
      <c r="T83">
        <f t="shared" si="10"/>
        <v>115</v>
      </c>
      <c r="U83">
        <f t="shared" si="10"/>
        <v>46</v>
      </c>
      <c r="V83">
        <f t="shared" si="9"/>
        <v>98</v>
      </c>
      <c r="W83" s="5">
        <f t="shared" si="7"/>
        <v>854</v>
      </c>
      <c r="X83" s="9" t="str">
        <f t="shared" si="8"/>
        <v>k854</v>
      </c>
    </row>
    <row r="84" spans="1:24" x14ac:dyDescent="0.2">
      <c r="A84" s="9" t="s">
        <v>425</v>
      </c>
      <c r="B84" s="9">
        <v>1</v>
      </c>
      <c r="C84" s="22">
        <v>3</v>
      </c>
      <c r="D84" s="25"/>
      <c r="E84" s="18">
        <v>45187</v>
      </c>
      <c r="F84" s="18" t="s">
        <v>363</v>
      </c>
      <c r="G84" s="20" t="s">
        <v>30</v>
      </c>
      <c r="H84" s="19">
        <v>7.0000000000000007E-2</v>
      </c>
      <c r="I84" s="20" t="s">
        <v>74</v>
      </c>
      <c r="J84" s="20" t="s">
        <v>7</v>
      </c>
      <c r="K84" s="20" t="s">
        <v>9</v>
      </c>
      <c r="L84" s="20">
        <f t="shared" si="6"/>
        <v>701</v>
      </c>
      <c r="M84" s="4" t="str">
        <f>IF(Table3[[#This Row],[Afrondingsdatum YB]]="N/A","-",Table3[[#This Row],[Afrondingsdatum YB]]-Table3[[#This Row],[StartDatum]])</f>
        <v>-</v>
      </c>
      <c r="N84" s="4"/>
      <c r="O84">
        <f t="shared" si="10"/>
        <v>105</v>
      </c>
      <c r="P84">
        <f t="shared" si="10"/>
        <v>108</v>
      </c>
      <c r="Q84">
        <f t="shared" si="10"/>
        <v>107</v>
      </c>
      <c r="R84">
        <f t="shared" si="10"/>
        <v>97</v>
      </c>
      <c r="S84">
        <f t="shared" si="10"/>
        <v>121</v>
      </c>
      <c r="T84">
        <f t="shared" si="10"/>
        <v>46</v>
      </c>
      <c r="U84">
        <f t="shared" si="10"/>
        <v>117</v>
      </c>
      <c r="V84">
        <f t="shared" si="9"/>
        <v>121</v>
      </c>
      <c r="W84" s="5">
        <f t="shared" si="7"/>
        <v>909</v>
      </c>
      <c r="X84" s="9" t="str">
        <f t="shared" si="8"/>
        <v>l909</v>
      </c>
    </row>
    <row r="85" spans="1:24" x14ac:dyDescent="0.2">
      <c r="A85" s="9" t="s">
        <v>425</v>
      </c>
      <c r="B85" s="9">
        <v>1</v>
      </c>
      <c r="C85" s="22">
        <v>3</v>
      </c>
      <c r="D85" s="25"/>
      <c r="E85" s="23">
        <v>45187</v>
      </c>
      <c r="F85" s="23" t="s">
        <v>364</v>
      </c>
      <c r="G85" s="25" t="s">
        <v>31</v>
      </c>
      <c r="H85" s="24">
        <v>0</v>
      </c>
      <c r="I85" s="25" t="s">
        <v>8</v>
      </c>
      <c r="J85" s="25" t="s">
        <v>7</v>
      </c>
      <c r="K85" s="25" t="s">
        <v>9</v>
      </c>
      <c r="L85" s="25">
        <f t="shared" si="6"/>
        <v>661</v>
      </c>
      <c r="M85" s="4" t="str">
        <f>IF(Table3[[#This Row],[Afrondingsdatum YB]]="N/A","-",Table3[[#This Row],[Afrondingsdatum YB]]-Table3[[#This Row],[StartDatum]])</f>
        <v>-</v>
      </c>
      <c r="N85" s="4"/>
      <c r="O85">
        <f t="shared" si="10"/>
        <v>106</v>
      </c>
      <c r="P85">
        <f t="shared" si="10"/>
        <v>97</v>
      </c>
      <c r="Q85">
        <f t="shared" si="10"/>
        <v>109</v>
      </c>
      <c r="R85">
        <f t="shared" si="10"/>
        <v>97</v>
      </c>
      <c r="S85">
        <f t="shared" si="10"/>
        <v>108</v>
      </c>
      <c r="T85">
        <f t="shared" si="10"/>
        <v>46</v>
      </c>
      <c r="U85">
        <f t="shared" si="10"/>
        <v>98</v>
      </c>
      <c r="V85">
        <f t="shared" si="9"/>
        <v>97</v>
      </c>
      <c r="W85" s="5">
        <f t="shared" si="7"/>
        <v>855</v>
      </c>
      <c r="X85" s="9" t="str">
        <f t="shared" si="8"/>
        <v>a855</v>
      </c>
    </row>
    <row r="86" spans="1:24" x14ac:dyDescent="0.2">
      <c r="A86" s="9" t="s">
        <v>425</v>
      </c>
      <c r="B86" s="9">
        <v>1</v>
      </c>
      <c r="C86" s="22">
        <v>3</v>
      </c>
      <c r="D86" s="25"/>
      <c r="E86" s="18">
        <v>45187</v>
      </c>
      <c r="F86" s="18" t="s">
        <v>364</v>
      </c>
      <c r="G86" s="20" t="s">
        <v>75</v>
      </c>
      <c r="H86" s="19">
        <v>0</v>
      </c>
      <c r="I86" s="20" t="s">
        <v>8</v>
      </c>
      <c r="J86" s="20" t="s">
        <v>7</v>
      </c>
      <c r="K86" s="20" t="s">
        <v>9</v>
      </c>
      <c r="L86" s="20">
        <f t="shared" si="6"/>
        <v>698</v>
      </c>
      <c r="M86" s="4" t="str">
        <f>IF(Table3[[#This Row],[Afrondingsdatum YB]]="N/A","-",Table3[[#This Row],[Afrondingsdatum YB]]-Table3[[#This Row],[StartDatum]])</f>
        <v>-</v>
      </c>
      <c r="N86" s="4"/>
      <c r="O86">
        <f t="shared" si="10"/>
        <v>74</v>
      </c>
      <c r="P86">
        <f t="shared" si="10"/>
        <v>97</v>
      </c>
      <c r="Q86">
        <f t="shared" si="10"/>
        <v>109</v>
      </c>
      <c r="R86">
        <f t="shared" si="10"/>
        <v>105</v>
      </c>
      <c r="S86">
        <f t="shared" si="10"/>
        <v>108</v>
      </c>
      <c r="T86">
        <f t="shared" si="10"/>
        <v>108</v>
      </c>
      <c r="U86">
        <f t="shared" si="10"/>
        <v>97</v>
      </c>
      <c r="V86">
        <f t="shared" si="9"/>
        <v>98</v>
      </c>
      <c r="W86" s="5">
        <f t="shared" si="7"/>
        <v>887</v>
      </c>
      <c r="X86" s="9" t="str">
        <f t="shared" si="8"/>
        <v>a887</v>
      </c>
    </row>
    <row r="87" spans="1:24" x14ac:dyDescent="0.2">
      <c r="A87" s="9" t="s">
        <v>425</v>
      </c>
      <c r="B87" s="9">
        <v>1</v>
      </c>
      <c r="C87" s="22">
        <v>3</v>
      </c>
      <c r="D87" s="25"/>
      <c r="E87" s="23">
        <v>45187</v>
      </c>
      <c r="F87" s="23" t="s">
        <v>363</v>
      </c>
      <c r="G87" s="25" t="s">
        <v>32</v>
      </c>
      <c r="H87" s="24">
        <v>0</v>
      </c>
      <c r="I87" s="25" t="s">
        <v>8</v>
      </c>
      <c r="J87" s="25" t="s">
        <v>7</v>
      </c>
      <c r="K87" s="25" t="s">
        <v>9</v>
      </c>
      <c r="L87" s="25">
        <f t="shared" si="6"/>
        <v>698</v>
      </c>
      <c r="M87" s="4" t="str">
        <f>IF(Table3[[#This Row],[Afrondingsdatum YB]]="N/A","-",Table3[[#This Row],[Afrondingsdatum YB]]-Table3[[#This Row],[StartDatum]])</f>
        <v>-</v>
      </c>
      <c r="N87" s="4"/>
      <c r="O87">
        <f t="shared" si="10"/>
        <v>106</v>
      </c>
      <c r="P87">
        <f t="shared" si="10"/>
        <v>97</v>
      </c>
      <c r="Q87">
        <f t="shared" si="10"/>
        <v>114</v>
      </c>
      <c r="R87">
        <f t="shared" si="10"/>
        <v>114</v>
      </c>
      <c r="S87">
        <f t="shared" si="10"/>
        <v>111</v>
      </c>
      <c r="T87">
        <f t="shared" si="10"/>
        <v>110</v>
      </c>
      <c r="U87">
        <f t="shared" si="10"/>
        <v>46</v>
      </c>
      <c r="V87">
        <f t="shared" si="9"/>
        <v>118</v>
      </c>
      <c r="W87" s="5">
        <f t="shared" si="7"/>
        <v>910</v>
      </c>
      <c r="X87" s="9" t="str">
        <f t="shared" si="8"/>
        <v>a910</v>
      </c>
    </row>
    <row r="88" spans="1:24" x14ac:dyDescent="0.2">
      <c r="A88" s="9" t="s">
        <v>425</v>
      </c>
      <c r="B88" s="9">
        <v>1</v>
      </c>
      <c r="C88" s="22">
        <v>3</v>
      </c>
      <c r="D88" s="25"/>
      <c r="E88" s="18">
        <v>45187</v>
      </c>
      <c r="F88" s="18" t="s">
        <v>362</v>
      </c>
      <c r="G88" s="20" t="s">
        <v>33</v>
      </c>
      <c r="H88" s="19">
        <v>0.08</v>
      </c>
      <c r="I88" s="20" t="s">
        <v>76</v>
      </c>
      <c r="J88" s="20" t="s">
        <v>7</v>
      </c>
      <c r="K88" s="20" t="s">
        <v>9</v>
      </c>
      <c r="L88" s="20">
        <f t="shared" si="6"/>
        <v>707</v>
      </c>
      <c r="M88" s="4" t="str">
        <f>IF(Table3[[#This Row],[Afrondingsdatum YB]]="N/A","-",Table3[[#This Row],[Afrondingsdatum YB]]-Table3[[#This Row],[StartDatum]])</f>
        <v>-</v>
      </c>
      <c r="N88" s="4"/>
      <c r="O88">
        <f t="shared" si="10"/>
        <v>106</v>
      </c>
      <c r="P88">
        <f t="shared" si="10"/>
        <v>101</v>
      </c>
      <c r="Q88">
        <f t="shared" si="10"/>
        <v>118</v>
      </c>
      <c r="R88">
        <f t="shared" si="10"/>
        <v>111</v>
      </c>
      <c r="S88">
        <f t="shared" si="10"/>
        <v>110</v>
      </c>
      <c r="T88">
        <f t="shared" si="10"/>
        <v>46</v>
      </c>
      <c r="U88">
        <f t="shared" si="10"/>
        <v>115</v>
      </c>
      <c r="V88">
        <f t="shared" si="9"/>
        <v>109</v>
      </c>
      <c r="W88" s="5">
        <f t="shared" si="7"/>
        <v>918</v>
      </c>
      <c r="X88" s="9" t="str">
        <f t="shared" si="8"/>
        <v>e918</v>
      </c>
    </row>
    <row r="89" spans="1:24" x14ac:dyDescent="0.2">
      <c r="A89" s="9" t="s">
        <v>425</v>
      </c>
      <c r="B89" s="9">
        <v>1</v>
      </c>
      <c r="C89" s="22">
        <v>3</v>
      </c>
      <c r="D89" s="25"/>
      <c r="E89" s="23">
        <v>45187</v>
      </c>
      <c r="F89" s="23" t="s">
        <v>362</v>
      </c>
      <c r="G89" s="25" t="s">
        <v>34</v>
      </c>
      <c r="H89" s="24">
        <v>0.08</v>
      </c>
      <c r="I89" s="25" t="s">
        <v>76</v>
      </c>
      <c r="J89" s="25" t="s">
        <v>7</v>
      </c>
      <c r="K89" s="25" t="s">
        <v>9</v>
      </c>
      <c r="L89" s="25">
        <f t="shared" si="6"/>
        <v>676</v>
      </c>
      <c r="M89" s="4" t="str">
        <f>IF(Table3[[#This Row],[Afrondingsdatum YB]]="N/A","-",Table3[[#This Row],[Afrondingsdatum YB]]-Table3[[#This Row],[StartDatum]])</f>
        <v>-</v>
      </c>
      <c r="N89" s="4"/>
      <c r="O89">
        <f t="shared" si="10"/>
        <v>106</v>
      </c>
      <c r="P89">
        <f t="shared" si="10"/>
        <v>111</v>
      </c>
      <c r="Q89">
        <f t="shared" si="10"/>
        <v>99</v>
      </c>
      <c r="R89">
        <f t="shared" si="10"/>
        <v>104</v>
      </c>
      <c r="S89">
        <f t="shared" si="10"/>
        <v>101</v>
      </c>
      <c r="T89">
        <f t="shared" si="10"/>
        <v>109</v>
      </c>
      <c r="U89">
        <f t="shared" si="10"/>
        <v>46</v>
      </c>
      <c r="V89">
        <f t="shared" si="9"/>
        <v>104</v>
      </c>
      <c r="W89" s="5">
        <f t="shared" si="7"/>
        <v>845</v>
      </c>
      <c r="X89" s="9" t="str">
        <f t="shared" si="8"/>
        <v>o845</v>
      </c>
    </row>
    <row r="90" spans="1:24" x14ac:dyDescent="0.2">
      <c r="A90" s="9" t="s">
        <v>425</v>
      </c>
      <c r="B90" s="9">
        <v>1</v>
      </c>
      <c r="C90" s="22">
        <v>3</v>
      </c>
      <c r="D90" s="25"/>
      <c r="E90" s="18">
        <v>45187</v>
      </c>
      <c r="F90" s="18" t="s">
        <v>362</v>
      </c>
      <c r="G90" s="20" t="s">
        <v>35</v>
      </c>
      <c r="H90" s="19">
        <v>0</v>
      </c>
      <c r="I90" s="20" t="s">
        <v>8</v>
      </c>
      <c r="J90" s="20" t="s">
        <v>7</v>
      </c>
      <c r="K90" s="20" t="s">
        <v>9</v>
      </c>
      <c r="L90" s="20">
        <f t="shared" si="6"/>
        <v>704</v>
      </c>
      <c r="M90" s="4" t="str">
        <f>IF(Table3[[#This Row],[Afrondingsdatum YB]]="N/A","-",Table3[[#This Row],[Afrondingsdatum YB]]-Table3[[#This Row],[StartDatum]])</f>
        <v>-</v>
      </c>
      <c r="N90" s="4"/>
      <c r="O90">
        <f t="shared" si="10"/>
        <v>106</v>
      </c>
      <c r="P90">
        <f t="shared" si="10"/>
        <v>111</v>
      </c>
      <c r="Q90">
        <f t="shared" si="10"/>
        <v>114</v>
      </c>
      <c r="R90">
        <f t="shared" si="10"/>
        <v>105</v>
      </c>
      <c r="S90">
        <f t="shared" si="10"/>
        <v>115</v>
      </c>
      <c r="T90">
        <f t="shared" si="10"/>
        <v>46</v>
      </c>
      <c r="U90">
        <f t="shared" si="10"/>
        <v>107</v>
      </c>
      <c r="V90">
        <f t="shared" si="9"/>
        <v>111</v>
      </c>
      <c r="W90" s="5">
        <f t="shared" si="7"/>
        <v>909</v>
      </c>
      <c r="X90" s="9" t="str">
        <f t="shared" si="8"/>
        <v>o909</v>
      </c>
    </row>
    <row r="91" spans="1:24" x14ac:dyDescent="0.2">
      <c r="A91" s="9" t="s">
        <v>425</v>
      </c>
      <c r="B91" s="9">
        <v>1</v>
      </c>
      <c r="C91" s="22">
        <v>3</v>
      </c>
      <c r="D91" s="25"/>
      <c r="E91" s="23">
        <v>45187</v>
      </c>
      <c r="F91" s="23" t="s">
        <v>364</v>
      </c>
      <c r="G91" s="25" t="s">
        <v>36</v>
      </c>
      <c r="H91" s="24">
        <v>0.05</v>
      </c>
      <c r="I91" s="25" t="s">
        <v>77</v>
      </c>
      <c r="J91" s="25" t="s">
        <v>7</v>
      </c>
      <c r="K91" s="25" t="s">
        <v>9</v>
      </c>
      <c r="L91" s="25">
        <f t="shared" si="6"/>
        <v>657</v>
      </c>
      <c r="M91" s="4" t="str">
        <f>IF(Table3[[#This Row],[Afrondingsdatum YB]]="N/A","-",Table3[[#This Row],[Afrondingsdatum YB]]-Table3[[#This Row],[StartDatum]])</f>
        <v>-</v>
      </c>
      <c r="N91" s="4"/>
      <c r="O91">
        <f t="shared" si="10"/>
        <v>74</v>
      </c>
      <c r="P91">
        <f t="shared" si="10"/>
        <v>117</v>
      </c>
      <c r="Q91">
        <f t="shared" si="10"/>
        <v>108</v>
      </c>
      <c r="R91">
        <f t="shared" si="10"/>
        <v>105</v>
      </c>
      <c r="S91">
        <f t="shared" si="10"/>
        <v>97</v>
      </c>
      <c r="T91">
        <f t="shared" si="10"/>
        <v>110</v>
      </c>
      <c r="U91">
        <f t="shared" si="10"/>
        <v>46</v>
      </c>
      <c r="V91">
        <f t="shared" si="9"/>
        <v>68</v>
      </c>
      <c r="W91" s="5">
        <f t="shared" si="7"/>
        <v>804</v>
      </c>
      <c r="X91" s="9" t="str">
        <f t="shared" si="8"/>
        <v>u804</v>
      </c>
    </row>
    <row r="92" spans="1:24" x14ac:dyDescent="0.2">
      <c r="A92" s="9" t="s">
        <v>425</v>
      </c>
      <c r="B92" s="9">
        <v>1</v>
      </c>
      <c r="C92" s="22">
        <v>3</v>
      </c>
      <c r="D92" s="25"/>
      <c r="E92" s="18">
        <v>45187</v>
      </c>
      <c r="F92" s="18" t="s">
        <v>363</v>
      </c>
      <c r="G92" s="20" t="s">
        <v>37</v>
      </c>
      <c r="H92" s="19">
        <v>0</v>
      </c>
      <c r="I92" s="20" t="s">
        <v>76</v>
      </c>
      <c r="J92" s="20" t="s">
        <v>7</v>
      </c>
      <c r="K92" s="20" t="s">
        <v>9</v>
      </c>
      <c r="L92" s="20">
        <f t="shared" si="6"/>
        <v>689</v>
      </c>
      <c r="M92" s="4" t="str">
        <f>IF(Table3[[#This Row],[Afrondingsdatum YB]]="N/A","-",Table3[[#This Row],[Afrondingsdatum YB]]-Table3[[#This Row],[StartDatum]])</f>
        <v>-</v>
      </c>
      <c r="N92" s="4"/>
      <c r="O92">
        <f t="shared" si="10"/>
        <v>106</v>
      </c>
      <c r="P92">
        <f t="shared" si="10"/>
        <v>117</v>
      </c>
      <c r="Q92">
        <f t="shared" si="10"/>
        <v>108</v>
      </c>
      <c r="R92">
        <f t="shared" si="10"/>
        <v>105</v>
      </c>
      <c r="S92">
        <f t="shared" si="10"/>
        <v>97</v>
      </c>
      <c r="T92">
        <f t="shared" si="10"/>
        <v>110</v>
      </c>
      <c r="U92">
        <f t="shared" si="10"/>
        <v>46</v>
      </c>
      <c r="V92">
        <f t="shared" si="9"/>
        <v>118</v>
      </c>
      <c r="W92" s="5">
        <f t="shared" si="7"/>
        <v>886</v>
      </c>
      <c r="X92" s="9" t="str">
        <f t="shared" si="8"/>
        <v>u886</v>
      </c>
    </row>
    <row r="93" spans="1:24" x14ac:dyDescent="0.2">
      <c r="A93" s="9" t="s">
        <v>425</v>
      </c>
      <c r="B93" s="9">
        <v>1</v>
      </c>
      <c r="C93" s="22">
        <v>3</v>
      </c>
      <c r="D93" s="25"/>
      <c r="E93" s="23">
        <v>45187</v>
      </c>
      <c r="F93" s="23" t="s">
        <v>363</v>
      </c>
      <c r="G93" s="25" t="s">
        <v>38</v>
      </c>
      <c r="H93" s="24">
        <v>0</v>
      </c>
      <c r="I93" s="25" t="s">
        <v>8</v>
      </c>
      <c r="J93" s="25" t="s">
        <v>7</v>
      </c>
      <c r="K93" s="25" t="s">
        <v>9</v>
      </c>
      <c r="L93" s="25">
        <f t="shared" si="6"/>
        <v>671</v>
      </c>
      <c r="M93" s="4" t="str">
        <f>IF(Table3[[#This Row],[Afrondingsdatum YB]]="N/A","-",Table3[[#This Row],[Afrondingsdatum YB]]-Table3[[#This Row],[StartDatum]])</f>
        <v>-</v>
      </c>
      <c r="N93" s="4"/>
      <c r="O93">
        <f t="shared" si="10"/>
        <v>107</v>
      </c>
      <c r="P93">
        <f t="shared" si="10"/>
        <v>97</v>
      </c>
      <c r="Q93">
        <f t="shared" si="10"/>
        <v>105</v>
      </c>
      <c r="R93">
        <f t="shared" si="10"/>
        <v>46</v>
      </c>
      <c r="S93">
        <f t="shared" si="10"/>
        <v>104</v>
      </c>
      <c r="T93">
        <f t="shared" si="10"/>
        <v>97</v>
      </c>
      <c r="U93">
        <f t="shared" si="10"/>
        <v>115</v>
      </c>
      <c r="V93">
        <f t="shared" si="9"/>
        <v>115</v>
      </c>
      <c r="W93" s="5">
        <f t="shared" si="7"/>
        <v>913</v>
      </c>
      <c r="X93" s="9" t="str">
        <f t="shared" si="8"/>
        <v>a913</v>
      </c>
    </row>
    <row r="94" spans="1:24" x14ac:dyDescent="0.2">
      <c r="A94" s="9" t="s">
        <v>425</v>
      </c>
      <c r="B94" s="9">
        <v>1</v>
      </c>
      <c r="C94" s="22">
        <v>3</v>
      </c>
      <c r="D94" s="25"/>
      <c r="E94" s="18">
        <v>45187</v>
      </c>
      <c r="F94" s="18" t="s">
        <v>362</v>
      </c>
      <c r="G94" s="20" t="s">
        <v>39</v>
      </c>
      <c r="H94" s="19">
        <v>0</v>
      </c>
      <c r="I94" s="20" t="s">
        <v>8</v>
      </c>
      <c r="J94" s="20" t="s">
        <v>7</v>
      </c>
      <c r="K94" s="20" t="s">
        <v>9</v>
      </c>
      <c r="L94" s="20">
        <f t="shared" si="6"/>
        <v>673</v>
      </c>
      <c r="M94" s="4" t="str">
        <f>IF(Table3[[#This Row],[Afrondingsdatum YB]]="N/A","-",Table3[[#This Row],[Afrondingsdatum YB]]-Table3[[#This Row],[StartDatum]])</f>
        <v>-</v>
      </c>
      <c r="N94" s="4"/>
      <c r="O94">
        <f t="shared" si="10"/>
        <v>107</v>
      </c>
      <c r="P94">
        <f t="shared" si="10"/>
        <v>101</v>
      </c>
      <c r="Q94">
        <f t="shared" si="10"/>
        <v>110</v>
      </c>
      <c r="R94">
        <f t="shared" si="10"/>
        <v>97</v>
      </c>
      <c r="S94">
        <f t="shared" si="10"/>
        <v>110</v>
      </c>
      <c r="T94">
        <f t="shared" si="10"/>
        <v>46</v>
      </c>
      <c r="U94">
        <f t="shared" si="10"/>
        <v>102</v>
      </c>
      <c r="V94">
        <f t="shared" si="9"/>
        <v>108</v>
      </c>
      <c r="W94" s="5">
        <f t="shared" si="7"/>
        <v>878</v>
      </c>
      <c r="X94" s="9" t="str">
        <f t="shared" si="8"/>
        <v>e878</v>
      </c>
    </row>
    <row r="95" spans="1:24" x14ac:dyDescent="0.2">
      <c r="A95" s="9" t="s">
        <v>425</v>
      </c>
      <c r="B95" s="9">
        <v>1</v>
      </c>
      <c r="C95" s="22">
        <v>3</v>
      </c>
      <c r="D95" s="25"/>
      <c r="E95" s="23">
        <v>45187</v>
      </c>
      <c r="F95" s="23" t="s">
        <v>363</v>
      </c>
      <c r="G95" s="25" t="s">
        <v>40</v>
      </c>
      <c r="H95" s="24">
        <v>0.05</v>
      </c>
      <c r="I95" s="25" t="s">
        <v>78</v>
      </c>
      <c r="J95" s="25" t="s">
        <v>7</v>
      </c>
      <c r="K95" s="25" t="s">
        <v>9</v>
      </c>
      <c r="L95" s="25">
        <f t="shared" si="6"/>
        <v>685</v>
      </c>
      <c r="M95" s="4" t="str">
        <f>IF(Table3[[#This Row],[Afrondingsdatum YB]]="N/A","-",Table3[[#This Row],[Afrondingsdatum YB]]-Table3[[#This Row],[StartDatum]])</f>
        <v>-</v>
      </c>
      <c r="N95" s="4"/>
      <c r="O95">
        <f t="shared" si="10"/>
        <v>107</v>
      </c>
      <c r="P95">
        <f t="shared" si="10"/>
        <v>101</v>
      </c>
      <c r="Q95">
        <f t="shared" si="10"/>
        <v>118</v>
      </c>
      <c r="R95">
        <f t="shared" si="10"/>
        <v>105</v>
      </c>
      <c r="S95">
        <f t="shared" si="10"/>
        <v>110</v>
      </c>
      <c r="T95">
        <f t="shared" si="10"/>
        <v>46</v>
      </c>
      <c r="U95">
        <f t="shared" si="10"/>
        <v>98</v>
      </c>
      <c r="V95">
        <f t="shared" si="9"/>
        <v>97</v>
      </c>
      <c r="W95" s="5">
        <f t="shared" si="7"/>
        <v>889</v>
      </c>
      <c r="X95" s="9" t="str">
        <f t="shared" si="8"/>
        <v>e889</v>
      </c>
    </row>
    <row r="96" spans="1:24" x14ac:dyDescent="0.2">
      <c r="A96" s="9" t="s">
        <v>425</v>
      </c>
      <c r="B96" s="9">
        <v>1</v>
      </c>
      <c r="C96" s="22">
        <v>3</v>
      </c>
      <c r="D96" s="25"/>
      <c r="E96" s="18">
        <v>45187</v>
      </c>
      <c r="F96" s="18" t="s">
        <v>363</v>
      </c>
      <c r="G96" s="20" t="s">
        <v>41</v>
      </c>
      <c r="H96" s="19">
        <v>0</v>
      </c>
      <c r="I96" s="20" t="s">
        <v>8</v>
      </c>
      <c r="J96" s="20" t="s">
        <v>7</v>
      </c>
      <c r="K96" s="20" t="s">
        <v>9</v>
      </c>
      <c r="L96" s="20">
        <f t="shared" si="6"/>
        <v>694</v>
      </c>
      <c r="M96" s="4" t="str">
        <f>IF(Table3[[#This Row],[Afrondingsdatum YB]]="N/A","-",Table3[[#This Row],[Afrondingsdatum YB]]-Table3[[#This Row],[StartDatum]])</f>
        <v>-</v>
      </c>
      <c r="N96" s="4"/>
      <c r="O96">
        <f t="shared" si="10"/>
        <v>107</v>
      </c>
      <c r="P96">
        <f t="shared" si="10"/>
        <v>106</v>
      </c>
      <c r="Q96">
        <f t="shared" si="10"/>
        <v>101</v>
      </c>
      <c r="R96">
        <f t="shared" si="10"/>
        <v>108</v>
      </c>
      <c r="S96">
        <f t="shared" si="10"/>
        <v>108</v>
      </c>
      <c r="T96">
        <f t="shared" si="10"/>
        <v>46</v>
      </c>
      <c r="U96">
        <f t="shared" si="10"/>
        <v>118</v>
      </c>
      <c r="V96">
        <f t="shared" si="9"/>
        <v>97</v>
      </c>
      <c r="W96" s="5">
        <f t="shared" si="7"/>
        <v>859</v>
      </c>
      <c r="X96" s="9" t="str">
        <f t="shared" si="8"/>
        <v>j859</v>
      </c>
    </row>
    <row r="97" spans="1:24" x14ac:dyDescent="0.2">
      <c r="A97" s="9" t="s">
        <v>425</v>
      </c>
      <c r="B97" s="9">
        <v>1</v>
      </c>
      <c r="C97" s="22">
        <v>3</v>
      </c>
      <c r="D97" s="25"/>
      <c r="E97" s="23">
        <v>45187</v>
      </c>
      <c r="F97" s="23" t="s">
        <v>362</v>
      </c>
      <c r="G97" s="25" t="s">
        <v>79</v>
      </c>
      <c r="H97" s="24">
        <v>0.03</v>
      </c>
      <c r="I97" s="25" t="s">
        <v>78</v>
      </c>
      <c r="J97" s="25" t="s">
        <v>7</v>
      </c>
      <c r="K97" s="25" t="s">
        <v>9</v>
      </c>
      <c r="L97" s="25">
        <f t="shared" si="6"/>
        <v>679</v>
      </c>
      <c r="M97" s="4" t="str">
        <f>IF(Table3[[#This Row],[Afrondingsdatum YB]]="N/A","-",Table3[[#This Row],[Afrondingsdatum YB]]-Table3[[#This Row],[StartDatum]])</f>
        <v>-</v>
      </c>
      <c r="N97" s="4"/>
      <c r="O97">
        <f t="shared" si="10"/>
        <v>108</v>
      </c>
      <c r="P97">
        <f t="shared" si="10"/>
        <v>97</v>
      </c>
      <c r="Q97">
        <f t="shared" si="10"/>
        <v>109</v>
      </c>
      <c r="R97">
        <f t="shared" si="10"/>
        <v>121</v>
      </c>
      <c r="S97">
        <f t="shared" si="10"/>
        <v>97</v>
      </c>
      <c r="T97">
        <f t="shared" si="10"/>
        <v>101</v>
      </c>
      <c r="U97">
        <f t="shared" si="10"/>
        <v>46</v>
      </c>
      <c r="V97">
        <f t="shared" si="9"/>
        <v>101</v>
      </c>
      <c r="W97" s="5">
        <f t="shared" si="7"/>
        <v>859</v>
      </c>
      <c r="X97" s="9" t="str">
        <f t="shared" si="8"/>
        <v>a859</v>
      </c>
    </row>
    <row r="98" spans="1:24" x14ac:dyDescent="0.2">
      <c r="A98" s="9" t="s">
        <v>425</v>
      </c>
      <c r="B98" s="9">
        <v>1</v>
      </c>
      <c r="C98" s="22">
        <v>3</v>
      </c>
      <c r="D98" s="25"/>
      <c r="E98" s="18">
        <v>45187</v>
      </c>
      <c r="F98" s="18" t="s">
        <v>363</v>
      </c>
      <c r="G98" s="20" t="s">
        <v>42</v>
      </c>
      <c r="H98" s="19">
        <v>0</v>
      </c>
      <c r="I98" s="20" t="s">
        <v>8</v>
      </c>
      <c r="J98" s="20" t="s">
        <v>7</v>
      </c>
      <c r="K98" s="20" t="s">
        <v>9</v>
      </c>
      <c r="L98" s="20">
        <f t="shared" si="6"/>
        <v>687</v>
      </c>
      <c r="M98" s="4" t="str">
        <f>IF(Table3[[#This Row],[Afrondingsdatum YB]]="N/A","-",Table3[[#This Row],[Afrondingsdatum YB]]-Table3[[#This Row],[StartDatum]])</f>
        <v>-</v>
      </c>
      <c r="N98" s="4"/>
      <c r="O98">
        <f t="shared" si="10"/>
        <v>108</v>
      </c>
      <c r="P98">
        <f t="shared" si="10"/>
        <v>105</v>
      </c>
      <c r="Q98">
        <f t="shared" si="10"/>
        <v>110</v>
      </c>
      <c r="R98">
        <f t="shared" si="10"/>
        <v>100</v>
      </c>
      <c r="S98">
        <f t="shared" si="10"/>
        <v>121</v>
      </c>
      <c r="T98">
        <f t="shared" si="10"/>
        <v>46</v>
      </c>
      <c r="U98">
        <f t="shared" si="10"/>
        <v>97</v>
      </c>
      <c r="V98">
        <f t="shared" si="9"/>
        <v>110</v>
      </c>
      <c r="W98" s="5">
        <f t="shared" si="7"/>
        <v>890</v>
      </c>
      <c r="X98" s="9" t="str">
        <f t="shared" si="8"/>
        <v>i890</v>
      </c>
    </row>
    <row r="99" spans="1:24" x14ac:dyDescent="0.2">
      <c r="A99" s="9" t="s">
        <v>425</v>
      </c>
      <c r="B99" s="9">
        <v>1</v>
      </c>
      <c r="C99" s="22">
        <v>3</v>
      </c>
      <c r="D99" s="25"/>
      <c r="E99" s="23">
        <v>45187</v>
      </c>
      <c r="F99" s="23" t="s">
        <v>363</v>
      </c>
      <c r="G99" s="25" t="s">
        <v>43</v>
      </c>
      <c r="H99" s="24">
        <v>0</v>
      </c>
      <c r="I99" s="25" t="s">
        <v>8</v>
      </c>
      <c r="J99" s="25" t="s">
        <v>7</v>
      </c>
      <c r="K99" s="25" t="s">
        <v>9</v>
      </c>
      <c r="L99" s="25">
        <f t="shared" si="6"/>
        <v>689</v>
      </c>
      <c r="M99" s="4" t="str">
        <f>IF(Table3[[#This Row],[Afrondingsdatum YB]]="N/A","-",Table3[[#This Row],[Afrondingsdatum YB]]-Table3[[#This Row],[StartDatum]])</f>
        <v>-</v>
      </c>
      <c r="N99" s="4"/>
      <c r="O99">
        <f t="shared" si="10"/>
        <v>108</v>
      </c>
      <c r="P99">
        <f t="shared" si="10"/>
        <v>117</v>
      </c>
      <c r="Q99">
        <f t="shared" si="10"/>
        <v>99</v>
      </c>
      <c r="R99">
        <f t="shared" si="10"/>
        <v>46</v>
      </c>
      <c r="S99">
        <f t="shared" si="10"/>
        <v>98</v>
      </c>
      <c r="T99">
        <f t="shared" si="10"/>
        <v>111</v>
      </c>
      <c r="U99">
        <f t="shared" si="10"/>
        <v>110</v>
      </c>
      <c r="V99">
        <f t="shared" si="9"/>
        <v>100</v>
      </c>
      <c r="W99" s="5">
        <f t="shared" si="7"/>
        <v>894</v>
      </c>
      <c r="X99" s="9" t="str">
        <f t="shared" si="8"/>
        <v>u894</v>
      </c>
    </row>
    <row r="100" spans="1:24" x14ac:dyDescent="0.2">
      <c r="A100" s="9" t="s">
        <v>425</v>
      </c>
      <c r="B100" s="9">
        <v>1</v>
      </c>
      <c r="C100" s="22">
        <v>3</v>
      </c>
      <c r="D100" s="25"/>
      <c r="E100" s="18">
        <v>45187</v>
      </c>
      <c r="F100" s="18" t="s">
        <v>364</v>
      </c>
      <c r="G100" s="20" t="s">
        <v>44</v>
      </c>
      <c r="H100" s="19">
        <v>0.1</v>
      </c>
      <c r="I100" s="20" t="s">
        <v>80</v>
      </c>
      <c r="J100" s="20" t="s">
        <v>7</v>
      </c>
      <c r="K100" s="20" t="s">
        <v>9</v>
      </c>
      <c r="L100" s="20">
        <f t="shared" si="6"/>
        <v>680</v>
      </c>
      <c r="M100" s="4" t="str">
        <f>IF(Table3[[#This Row],[Afrondingsdatum YB]]="N/A","-",Table3[[#This Row],[Afrondingsdatum YB]]-Table3[[#This Row],[StartDatum]])</f>
        <v>-</v>
      </c>
      <c r="N100" s="4"/>
      <c r="O100">
        <f t="shared" si="10"/>
        <v>108</v>
      </c>
      <c r="P100">
        <f t="shared" si="10"/>
        <v>117</v>
      </c>
      <c r="Q100">
        <f t="shared" si="10"/>
        <v>99</v>
      </c>
      <c r="R100">
        <f t="shared" si="10"/>
        <v>97</v>
      </c>
      <c r="S100">
        <f t="shared" si="10"/>
        <v>115</v>
      </c>
      <c r="T100">
        <f t="shared" si="10"/>
        <v>46</v>
      </c>
      <c r="U100">
        <f t="shared" si="10"/>
        <v>98</v>
      </c>
      <c r="V100">
        <f t="shared" si="9"/>
        <v>114</v>
      </c>
      <c r="W100" s="5">
        <f t="shared" si="7"/>
        <v>861</v>
      </c>
      <c r="X100" s="9" t="str">
        <f t="shared" si="8"/>
        <v>u861</v>
      </c>
    </row>
    <row r="101" spans="1:24" x14ac:dyDescent="0.2">
      <c r="A101" s="9" t="s">
        <v>425</v>
      </c>
      <c r="B101" s="9">
        <v>1</v>
      </c>
      <c r="C101" s="22">
        <v>3</v>
      </c>
      <c r="D101" s="25"/>
      <c r="E101" s="23">
        <v>45187</v>
      </c>
      <c r="F101" s="23" t="s">
        <v>363</v>
      </c>
      <c r="G101" s="25" t="s">
        <v>81</v>
      </c>
      <c r="H101" s="24">
        <v>0</v>
      </c>
      <c r="I101" s="25" t="s">
        <v>8</v>
      </c>
      <c r="J101" s="25" t="s">
        <v>7</v>
      </c>
      <c r="K101" s="25" t="s">
        <v>9</v>
      </c>
      <c r="L101" s="25">
        <f t="shared" si="6"/>
        <v>668</v>
      </c>
      <c r="M101" s="4" t="str">
        <f>IF(Table3[[#This Row],[Afrondingsdatum YB]]="N/A","-",Table3[[#This Row],[Afrondingsdatum YB]]-Table3[[#This Row],[StartDatum]])</f>
        <v>-</v>
      </c>
      <c r="N101" s="4"/>
      <c r="O101">
        <f t="shared" si="10"/>
        <v>76</v>
      </c>
      <c r="P101">
        <f t="shared" si="10"/>
        <v>117</v>
      </c>
      <c r="Q101">
        <f t="shared" si="10"/>
        <v>99</v>
      </c>
      <c r="R101">
        <f t="shared" si="10"/>
        <v>97</v>
      </c>
      <c r="S101">
        <f t="shared" si="10"/>
        <v>115</v>
      </c>
      <c r="T101">
        <f t="shared" si="10"/>
        <v>46</v>
      </c>
      <c r="U101">
        <f t="shared" si="10"/>
        <v>118</v>
      </c>
      <c r="V101">
        <f t="shared" si="9"/>
        <v>97</v>
      </c>
      <c r="W101" s="5">
        <f t="shared" si="7"/>
        <v>832</v>
      </c>
      <c r="X101" s="9" t="str">
        <f t="shared" si="8"/>
        <v>u832</v>
      </c>
    </row>
    <row r="102" spans="1:24" x14ac:dyDescent="0.2">
      <c r="A102" s="9" t="s">
        <v>425</v>
      </c>
      <c r="B102" s="9">
        <v>1</v>
      </c>
      <c r="C102" s="22">
        <v>3</v>
      </c>
      <c r="D102" s="25"/>
      <c r="E102" s="18">
        <v>45187</v>
      </c>
      <c r="F102" s="18" t="s">
        <v>364</v>
      </c>
      <c r="G102" s="20" t="s">
        <v>45</v>
      </c>
      <c r="H102" s="19">
        <v>0</v>
      </c>
      <c r="I102" s="20" t="s">
        <v>8</v>
      </c>
      <c r="J102" s="20" t="s">
        <v>7</v>
      </c>
      <c r="K102" s="20" t="s">
        <v>9</v>
      </c>
      <c r="L102" s="20">
        <f t="shared" si="6"/>
        <v>757</v>
      </c>
      <c r="M102" s="4" t="str">
        <f>IF(Table3[[#This Row],[Afrondingsdatum YB]]="N/A","-",Table3[[#This Row],[Afrondingsdatum YB]]-Table3[[#This Row],[StartDatum]])</f>
        <v>-</v>
      </c>
      <c r="N102" s="4"/>
      <c r="O102">
        <f t="shared" si="10"/>
        <v>109</v>
      </c>
      <c r="P102">
        <f t="shared" si="10"/>
        <v>97</v>
      </c>
      <c r="Q102">
        <f t="shared" si="10"/>
        <v>114</v>
      </c>
      <c r="R102">
        <f t="shared" si="10"/>
        <v>116</v>
      </c>
      <c r="S102">
        <f t="shared" si="10"/>
        <v>105</v>
      </c>
      <c r="T102">
        <f t="shared" si="10"/>
        <v>106</v>
      </c>
      <c r="U102">
        <f t="shared" si="10"/>
        <v>110</v>
      </c>
      <c r="V102">
        <f t="shared" si="9"/>
        <v>46</v>
      </c>
      <c r="W102" s="5">
        <f t="shared" si="7"/>
        <v>896</v>
      </c>
      <c r="X102" s="9" t="str">
        <f t="shared" si="8"/>
        <v>a896</v>
      </c>
    </row>
    <row r="103" spans="1:24" x14ac:dyDescent="0.2">
      <c r="A103" s="9" t="s">
        <v>425</v>
      </c>
      <c r="B103" s="9">
        <v>1</v>
      </c>
      <c r="C103" s="22">
        <v>3</v>
      </c>
      <c r="D103" s="25"/>
      <c r="E103" s="23">
        <v>45187</v>
      </c>
      <c r="F103" s="23" t="s">
        <v>364</v>
      </c>
      <c r="G103" s="25" t="s">
        <v>46</v>
      </c>
      <c r="H103" s="24">
        <v>0</v>
      </c>
      <c r="I103" s="25" t="s">
        <v>8</v>
      </c>
      <c r="J103" s="25" t="s">
        <v>7</v>
      </c>
      <c r="K103" s="25" t="s">
        <v>9</v>
      </c>
      <c r="L103" s="25">
        <f t="shared" si="6"/>
        <v>682</v>
      </c>
      <c r="M103" s="4" t="str">
        <f>IF(Table3[[#This Row],[Afrondingsdatum YB]]="N/A","-",Table3[[#This Row],[Afrondingsdatum YB]]-Table3[[#This Row],[StartDatum]])</f>
        <v>-</v>
      </c>
      <c r="N103" s="4"/>
      <c r="O103">
        <f t="shared" si="10"/>
        <v>109</v>
      </c>
      <c r="P103">
        <f t="shared" si="10"/>
        <v>97</v>
      </c>
      <c r="Q103">
        <f t="shared" si="10"/>
        <v>114</v>
      </c>
      <c r="R103">
        <f t="shared" si="10"/>
        <v>119</v>
      </c>
      <c r="S103">
        <f t="shared" si="10"/>
        <v>97</v>
      </c>
      <c r="T103">
        <f t="shared" si="10"/>
        <v>46</v>
      </c>
      <c r="U103">
        <f t="shared" si="10"/>
        <v>100</v>
      </c>
      <c r="V103">
        <f t="shared" si="9"/>
        <v>97</v>
      </c>
      <c r="W103" s="5">
        <f t="shared" si="7"/>
        <v>869</v>
      </c>
      <c r="X103" s="9" t="str">
        <f t="shared" si="8"/>
        <v>a869</v>
      </c>
    </row>
    <row r="104" spans="1:24" x14ac:dyDescent="0.2">
      <c r="A104" s="9" t="s">
        <v>425</v>
      </c>
      <c r="B104" s="9">
        <v>1</v>
      </c>
      <c r="C104" s="22">
        <v>3</v>
      </c>
      <c r="D104" s="25"/>
      <c r="E104" s="18">
        <v>45187</v>
      </c>
      <c r="F104" s="18" t="s">
        <v>364</v>
      </c>
      <c r="G104" s="20" t="s">
        <v>47</v>
      </c>
      <c r="H104" s="19">
        <v>0</v>
      </c>
      <c r="I104" s="20" t="s">
        <v>8</v>
      </c>
      <c r="J104" s="20" t="s">
        <v>7</v>
      </c>
      <c r="K104" s="20" t="s">
        <v>9</v>
      </c>
      <c r="L104" s="20">
        <f t="shared" si="6"/>
        <v>673</v>
      </c>
      <c r="M104" s="4" t="str">
        <f>IF(Table3[[#This Row],[Afrondingsdatum YB]]="N/A","-",Table3[[#This Row],[Afrondingsdatum YB]]-Table3[[#This Row],[StartDatum]])</f>
        <v>-</v>
      </c>
      <c r="N104" s="4"/>
      <c r="O104">
        <f t="shared" si="10"/>
        <v>109</v>
      </c>
      <c r="P104">
        <f t="shared" si="10"/>
        <v>101</v>
      </c>
      <c r="Q104">
        <f t="shared" si="10"/>
        <v>101</v>
      </c>
      <c r="R104">
        <f t="shared" si="10"/>
        <v>115</v>
      </c>
      <c r="S104">
        <f t="shared" si="10"/>
        <v>46</v>
      </c>
      <c r="T104">
        <f t="shared" si="10"/>
        <v>100</v>
      </c>
      <c r="U104">
        <f t="shared" si="10"/>
        <v>101</v>
      </c>
      <c r="V104">
        <f t="shared" si="9"/>
        <v>46</v>
      </c>
      <c r="W104" s="5">
        <f t="shared" si="7"/>
        <v>784</v>
      </c>
      <c r="X104" s="9" t="str">
        <f t="shared" si="8"/>
        <v>e784</v>
      </c>
    </row>
    <row r="105" spans="1:24" x14ac:dyDescent="0.2">
      <c r="A105" s="9" t="s">
        <v>425</v>
      </c>
      <c r="B105" s="9">
        <v>1</v>
      </c>
      <c r="C105" s="22">
        <v>3</v>
      </c>
      <c r="D105" s="25"/>
      <c r="E105" s="23">
        <v>45187</v>
      </c>
      <c r="F105" s="23" t="s">
        <v>363</v>
      </c>
      <c r="G105" s="25" t="s">
        <v>48</v>
      </c>
      <c r="H105" s="24">
        <v>0</v>
      </c>
      <c r="I105" s="25" t="s">
        <v>8</v>
      </c>
      <c r="J105" s="25" t="s">
        <v>7</v>
      </c>
      <c r="K105" s="25" t="s">
        <v>9</v>
      </c>
      <c r="L105" s="25">
        <f t="shared" si="6"/>
        <v>675</v>
      </c>
      <c r="M105" s="4" t="str">
        <f>IF(Table3[[#This Row],[Afrondingsdatum YB]]="N/A","-",Table3[[#This Row],[Afrondingsdatum YB]]-Table3[[#This Row],[StartDatum]])</f>
        <v>-</v>
      </c>
      <c r="N105" s="4"/>
      <c r="O105">
        <f t="shared" si="10"/>
        <v>109</v>
      </c>
      <c r="P105">
        <f t="shared" si="10"/>
        <v>105</v>
      </c>
      <c r="Q105">
        <f t="shared" si="10"/>
        <v>108</v>
      </c>
      <c r="R105">
        <f t="shared" si="10"/>
        <v>97</v>
      </c>
      <c r="S105">
        <f t="shared" si="10"/>
        <v>110</v>
      </c>
      <c r="T105">
        <f t="shared" si="10"/>
        <v>46</v>
      </c>
      <c r="U105">
        <f t="shared" si="10"/>
        <v>100</v>
      </c>
      <c r="V105">
        <f t="shared" si="9"/>
        <v>105</v>
      </c>
      <c r="W105" s="5">
        <f t="shared" si="7"/>
        <v>871</v>
      </c>
      <c r="X105" s="9" t="str">
        <f t="shared" si="8"/>
        <v>i871</v>
      </c>
    </row>
    <row r="106" spans="1:24" x14ac:dyDescent="0.2">
      <c r="A106" s="9" t="s">
        <v>425</v>
      </c>
      <c r="B106" s="9">
        <v>1</v>
      </c>
      <c r="C106" s="22">
        <v>3</v>
      </c>
      <c r="D106" s="25"/>
      <c r="E106" s="18">
        <v>45187</v>
      </c>
      <c r="F106" s="18" t="s">
        <v>364</v>
      </c>
      <c r="G106" s="20" t="s">
        <v>49</v>
      </c>
      <c r="H106" s="19">
        <v>0</v>
      </c>
      <c r="I106" s="20" t="s">
        <v>8</v>
      </c>
      <c r="J106" s="20" t="s">
        <v>7</v>
      </c>
      <c r="K106" s="20" t="s">
        <v>9</v>
      </c>
      <c r="L106" s="20">
        <f t="shared" si="6"/>
        <v>690</v>
      </c>
      <c r="M106" s="4" t="str">
        <f>IF(Table3[[#This Row],[Afrondingsdatum YB]]="N/A","-",Table3[[#This Row],[Afrondingsdatum YB]]-Table3[[#This Row],[StartDatum]])</f>
        <v>-</v>
      </c>
      <c r="N106" s="4"/>
      <c r="O106">
        <f t="shared" si="10"/>
        <v>109</v>
      </c>
      <c r="P106">
        <f t="shared" si="10"/>
        <v>105</v>
      </c>
      <c r="Q106">
        <f t="shared" si="10"/>
        <v>114</v>
      </c>
      <c r="R106">
        <f t="shared" si="10"/>
        <v>110</v>
      </c>
      <c r="S106">
        <f t="shared" si="10"/>
        <v>97</v>
      </c>
      <c r="T106">
        <f t="shared" si="10"/>
        <v>46</v>
      </c>
      <c r="U106">
        <f t="shared" si="10"/>
        <v>109</v>
      </c>
      <c r="V106">
        <f t="shared" si="9"/>
        <v>111</v>
      </c>
      <c r="W106" s="5">
        <f t="shared" si="7"/>
        <v>894</v>
      </c>
      <c r="X106" s="9" t="str">
        <f t="shared" si="8"/>
        <v>i894</v>
      </c>
    </row>
    <row r="107" spans="1:24" x14ac:dyDescent="0.2">
      <c r="A107" s="9" t="s">
        <v>425</v>
      </c>
      <c r="B107" s="9">
        <v>1</v>
      </c>
      <c r="C107" s="22">
        <v>3</v>
      </c>
      <c r="D107" s="25"/>
      <c r="E107" s="23">
        <v>45187</v>
      </c>
      <c r="F107" s="23" t="s">
        <v>364</v>
      </c>
      <c r="G107" s="25" t="s">
        <v>50</v>
      </c>
      <c r="H107" s="24">
        <v>0</v>
      </c>
      <c r="I107" s="25" t="s">
        <v>8</v>
      </c>
      <c r="J107" s="25" t="s">
        <v>7</v>
      </c>
      <c r="K107" s="25" t="s">
        <v>9</v>
      </c>
      <c r="L107" s="25">
        <f t="shared" si="6"/>
        <v>731</v>
      </c>
      <c r="M107" s="4" t="str">
        <f>IF(Table3[[#This Row],[Afrondingsdatum YB]]="N/A","-",Table3[[#This Row],[Afrondingsdatum YB]]-Table3[[#This Row],[StartDatum]])</f>
        <v>-</v>
      </c>
      <c r="N107" s="4"/>
      <c r="O107">
        <f t="shared" si="10"/>
        <v>109</v>
      </c>
      <c r="P107">
        <f t="shared" si="10"/>
        <v>111</v>
      </c>
      <c r="Q107">
        <f t="shared" si="10"/>
        <v>104</v>
      </c>
      <c r="R107">
        <f t="shared" si="10"/>
        <v>97</v>
      </c>
      <c r="S107">
        <f t="shared" si="10"/>
        <v>109</v>
      </c>
      <c r="T107">
        <f t="shared" si="10"/>
        <v>101</v>
      </c>
      <c r="U107">
        <f t="shared" si="10"/>
        <v>100</v>
      </c>
      <c r="V107">
        <f t="shared" si="9"/>
        <v>46</v>
      </c>
      <c r="W107" s="5">
        <f t="shared" si="7"/>
        <v>857</v>
      </c>
      <c r="X107" s="9" t="str">
        <f t="shared" si="8"/>
        <v>o857</v>
      </c>
    </row>
    <row r="108" spans="1:24" x14ac:dyDescent="0.2">
      <c r="A108" s="9" t="s">
        <v>425</v>
      </c>
      <c r="B108" s="9">
        <v>1</v>
      </c>
      <c r="C108" s="22">
        <v>3</v>
      </c>
      <c r="D108" s="25"/>
      <c r="E108" s="18">
        <v>45187</v>
      </c>
      <c r="F108" s="18" t="s">
        <v>363</v>
      </c>
      <c r="G108" s="20" t="s">
        <v>51</v>
      </c>
      <c r="H108" s="19">
        <v>0.04</v>
      </c>
      <c r="I108" s="20" t="s">
        <v>78</v>
      </c>
      <c r="J108" s="20" t="s">
        <v>7</v>
      </c>
      <c r="K108" s="20" t="s">
        <v>9</v>
      </c>
      <c r="L108" s="20">
        <f t="shared" si="6"/>
        <v>742</v>
      </c>
      <c r="M108" s="4" t="str">
        <f>IF(Table3[[#This Row],[Afrondingsdatum YB]]="N/A","-",Table3[[#This Row],[Afrondingsdatum YB]]-Table3[[#This Row],[StartDatum]])</f>
        <v>-</v>
      </c>
      <c r="N108" s="4"/>
      <c r="O108">
        <f t="shared" si="10"/>
        <v>110</v>
      </c>
      <c r="P108">
        <f t="shared" si="10"/>
        <v>97</v>
      </c>
      <c r="Q108">
        <f t="shared" si="10"/>
        <v>111</v>
      </c>
      <c r="R108">
        <f t="shared" si="10"/>
        <v>117</v>
      </c>
      <c r="S108">
        <f t="shared" si="10"/>
        <v>102</v>
      </c>
      <c r="T108">
        <f t="shared" si="10"/>
        <v>97</v>
      </c>
      <c r="U108">
        <f t="shared" si="10"/>
        <v>108</v>
      </c>
      <c r="V108">
        <f t="shared" si="9"/>
        <v>46</v>
      </c>
      <c r="W108" s="5">
        <f t="shared" si="7"/>
        <v>874</v>
      </c>
      <c r="X108" s="9" t="str">
        <f t="shared" si="8"/>
        <v>a874</v>
      </c>
    </row>
    <row r="109" spans="1:24" x14ac:dyDescent="0.2">
      <c r="A109" s="9" t="s">
        <v>425</v>
      </c>
      <c r="B109" s="9">
        <v>1</v>
      </c>
      <c r="C109" s="22">
        <v>3</v>
      </c>
      <c r="D109" s="25"/>
      <c r="E109" s="23">
        <v>45187</v>
      </c>
      <c r="F109" s="23" t="s">
        <v>362</v>
      </c>
      <c r="G109" s="25" t="s">
        <v>52</v>
      </c>
      <c r="H109" s="24">
        <v>0</v>
      </c>
      <c r="I109" s="25" t="s">
        <v>8</v>
      </c>
      <c r="J109" s="25" t="s">
        <v>7</v>
      </c>
      <c r="K109" s="25" t="s">
        <v>9</v>
      </c>
      <c r="L109" s="25">
        <f t="shared" si="6"/>
        <v>684</v>
      </c>
      <c r="M109" s="4" t="str">
        <f>IF(Table3[[#This Row],[Afrondingsdatum YB]]="N/A","-",Table3[[#This Row],[Afrondingsdatum YB]]-Table3[[#This Row],[StartDatum]])</f>
        <v>-</v>
      </c>
      <c r="N109" s="4"/>
      <c r="O109">
        <f t="shared" si="10"/>
        <v>110</v>
      </c>
      <c r="P109">
        <f t="shared" si="10"/>
        <v>105</v>
      </c>
      <c r="Q109">
        <f t="shared" si="10"/>
        <v>99</v>
      </c>
      <c r="R109">
        <f t="shared" si="10"/>
        <v>107</v>
      </c>
      <c r="S109">
        <f t="shared" si="10"/>
        <v>46</v>
      </c>
      <c r="T109">
        <f t="shared" si="10"/>
        <v>106</v>
      </c>
      <c r="U109">
        <f t="shared" si="10"/>
        <v>111</v>
      </c>
      <c r="V109">
        <f t="shared" si="9"/>
        <v>111</v>
      </c>
      <c r="W109" s="5">
        <f t="shared" si="7"/>
        <v>860</v>
      </c>
      <c r="X109" s="9" t="str">
        <f t="shared" si="8"/>
        <v>i860</v>
      </c>
    </row>
    <row r="110" spans="1:24" x14ac:dyDescent="0.2">
      <c r="A110" s="9" t="s">
        <v>425</v>
      </c>
      <c r="B110" s="9">
        <v>1</v>
      </c>
      <c r="C110" s="22">
        <v>3</v>
      </c>
      <c r="D110" s="25"/>
      <c r="E110" s="18">
        <v>45187</v>
      </c>
      <c r="F110" s="18" t="s">
        <v>364</v>
      </c>
      <c r="G110" s="20" t="s">
        <v>53</v>
      </c>
      <c r="H110" s="19">
        <v>0.08</v>
      </c>
      <c r="I110" s="20" t="s">
        <v>82</v>
      </c>
      <c r="J110" s="20" t="s">
        <v>7</v>
      </c>
      <c r="K110" s="20" t="s">
        <v>9</v>
      </c>
      <c r="L110" s="20">
        <f t="shared" si="6"/>
        <v>737</v>
      </c>
      <c r="M110" s="4" t="str">
        <f>IF(Table3[[#This Row],[Afrondingsdatum YB]]="N/A","-",Table3[[#This Row],[Afrondingsdatum YB]]-Table3[[#This Row],[StartDatum]])</f>
        <v>-</v>
      </c>
      <c r="N110" s="4"/>
      <c r="O110">
        <f t="shared" si="10"/>
        <v>110</v>
      </c>
      <c r="P110">
        <f t="shared" si="10"/>
        <v>105</v>
      </c>
      <c r="Q110">
        <f t="shared" si="10"/>
        <v>99</v>
      </c>
      <c r="R110">
        <f t="shared" si="10"/>
        <v>107</v>
      </c>
      <c r="S110">
        <f t="shared" si="10"/>
        <v>111</v>
      </c>
      <c r="T110">
        <f t="shared" si="10"/>
        <v>108</v>
      </c>
      <c r="U110">
        <f t="shared" si="10"/>
        <v>97</v>
      </c>
      <c r="V110">
        <f t="shared" si="9"/>
        <v>115</v>
      </c>
      <c r="W110" s="5">
        <f t="shared" si="7"/>
        <v>917</v>
      </c>
      <c r="X110" s="9" t="str">
        <f t="shared" si="8"/>
        <v>i917</v>
      </c>
    </row>
    <row r="111" spans="1:24" x14ac:dyDescent="0.2">
      <c r="A111" s="9" t="s">
        <v>425</v>
      </c>
      <c r="B111" s="9">
        <v>1</v>
      </c>
      <c r="C111" s="22">
        <v>3</v>
      </c>
      <c r="D111" s="25"/>
      <c r="E111" s="23">
        <v>45187</v>
      </c>
      <c r="F111" s="23" t="s">
        <v>364</v>
      </c>
      <c r="G111" s="25" t="s">
        <v>54</v>
      </c>
      <c r="H111" s="24">
        <v>0</v>
      </c>
      <c r="I111" s="25" t="s">
        <v>8</v>
      </c>
      <c r="J111" s="25" t="s">
        <v>7</v>
      </c>
      <c r="K111" s="25" t="s">
        <v>9</v>
      </c>
      <c r="L111" s="25">
        <f t="shared" si="6"/>
        <v>705</v>
      </c>
      <c r="M111" s="4" t="str">
        <f>IF(Table3[[#This Row],[Afrondingsdatum YB]]="N/A","-",Table3[[#This Row],[Afrondingsdatum YB]]-Table3[[#This Row],[StartDatum]])</f>
        <v>-</v>
      </c>
      <c r="N111" s="4"/>
      <c r="O111">
        <f t="shared" si="10"/>
        <v>110</v>
      </c>
      <c r="P111">
        <f t="shared" si="10"/>
        <v>105</v>
      </c>
      <c r="Q111">
        <f t="shared" si="10"/>
        <v>115</v>
      </c>
      <c r="R111">
        <f t="shared" si="10"/>
        <v>114</v>
      </c>
      <c r="S111">
        <f t="shared" si="10"/>
        <v>105</v>
      </c>
      <c r="T111">
        <f t="shared" si="10"/>
        <v>110</v>
      </c>
      <c r="U111">
        <f t="shared" si="10"/>
        <v>46</v>
      </c>
      <c r="V111">
        <f t="shared" si="9"/>
        <v>104</v>
      </c>
      <c r="W111" s="5">
        <f t="shared" si="7"/>
        <v>901</v>
      </c>
      <c r="X111" s="9" t="str">
        <f t="shared" si="8"/>
        <v>i901</v>
      </c>
    </row>
    <row r="112" spans="1:24" x14ac:dyDescent="0.2">
      <c r="A112" s="9" t="s">
        <v>425</v>
      </c>
      <c r="B112" s="9">
        <v>1</v>
      </c>
      <c r="C112" s="22">
        <v>3</v>
      </c>
      <c r="D112" s="25"/>
      <c r="E112" s="18">
        <v>45187</v>
      </c>
      <c r="F112" s="18" t="s">
        <v>364</v>
      </c>
      <c r="G112" s="20" t="s">
        <v>55</v>
      </c>
      <c r="H112" s="19">
        <v>0.04</v>
      </c>
      <c r="I112" s="20" t="s">
        <v>72</v>
      </c>
      <c r="J112" s="20" t="s">
        <v>7</v>
      </c>
      <c r="K112" s="20" t="s">
        <v>9</v>
      </c>
      <c r="L112" s="20">
        <f t="shared" si="6"/>
        <v>681</v>
      </c>
      <c r="M112" s="4" t="str">
        <f>IF(Table3[[#This Row],[Afrondingsdatum YB]]="N/A","-",Table3[[#This Row],[Afrondingsdatum YB]]-Table3[[#This Row],[StartDatum]])</f>
        <v>-</v>
      </c>
      <c r="N112" s="4"/>
      <c r="O112">
        <f t="shared" si="10"/>
        <v>110</v>
      </c>
      <c r="P112">
        <f t="shared" si="10"/>
        <v>111</v>
      </c>
      <c r="Q112">
        <f t="shared" si="10"/>
        <v>101</v>
      </c>
      <c r="R112">
        <f t="shared" si="10"/>
        <v>108</v>
      </c>
      <c r="S112">
        <f t="shared" si="10"/>
        <v>108</v>
      </c>
      <c r="T112">
        <f t="shared" si="10"/>
        <v>97</v>
      </c>
      <c r="U112">
        <f t="shared" si="10"/>
        <v>46</v>
      </c>
      <c r="V112">
        <f t="shared" si="9"/>
        <v>108</v>
      </c>
      <c r="W112" s="5">
        <f t="shared" si="7"/>
        <v>855</v>
      </c>
      <c r="X112" s="9" t="str">
        <f t="shared" si="8"/>
        <v>o855</v>
      </c>
    </row>
    <row r="113" spans="1:24" x14ac:dyDescent="0.2">
      <c r="A113" s="9" t="s">
        <v>425</v>
      </c>
      <c r="B113" s="9">
        <v>1</v>
      </c>
      <c r="C113" s="22">
        <v>3</v>
      </c>
      <c r="D113" s="25"/>
      <c r="E113" s="23">
        <v>45187</v>
      </c>
      <c r="F113" s="23" t="s">
        <v>363</v>
      </c>
      <c r="G113" s="25" t="s">
        <v>56</v>
      </c>
      <c r="H113" s="24">
        <v>0</v>
      </c>
      <c r="I113" s="25" t="s">
        <v>8</v>
      </c>
      <c r="J113" s="25" t="s">
        <v>7</v>
      </c>
      <c r="K113" s="25" t="s">
        <v>9</v>
      </c>
      <c r="L113" s="25">
        <f t="shared" si="6"/>
        <v>708</v>
      </c>
      <c r="M113" s="4" t="str">
        <f>IF(Table3[[#This Row],[Afrondingsdatum YB]]="N/A","-",Table3[[#This Row],[Afrondingsdatum YB]]-Table3[[#This Row],[StartDatum]])</f>
        <v>-</v>
      </c>
      <c r="N113" s="4"/>
      <c r="O113">
        <f t="shared" si="10"/>
        <v>110</v>
      </c>
      <c r="P113">
        <f t="shared" si="10"/>
        <v>117</v>
      </c>
      <c r="Q113">
        <f t="shared" si="10"/>
        <v>112</v>
      </c>
      <c r="R113">
        <f t="shared" si="10"/>
        <v>101</v>
      </c>
      <c r="S113">
        <f t="shared" si="10"/>
        <v>108</v>
      </c>
      <c r="T113">
        <f t="shared" si="10"/>
        <v>46</v>
      </c>
      <c r="U113">
        <f t="shared" si="10"/>
        <v>114</v>
      </c>
      <c r="V113">
        <f t="shared" si="9"/>
        <v>117</v>
      </c>
      <c r="W113" s="5">
        <f t="shared" si="7"/>
        <v>915</v>
      </c>
      <c r="X113" s="9" t="str">
        <f t="shared" si="8"/>
        <v>u915</v>
      </c>
    </row>
    <row r="114" spans="1:24" x14ac:dyDescent="0.2">
      <c r="A114" s="9" t="s">
        <v>425</v>
      </c>
      <c r="B114" s="9">
        <v>1</v>
      </c>
      <c r="C114" s="22">
        <v>3</v>
      </c>
      <c r="D114" s="25"/>
      <c r="E114" s="18">
        <v>45187</v>
      </c>
      <c r="F114" s="18" t="s">
        <v>364</v>
      </c>
      <c r="G114" s="20" t="s">
        <v>57</v>
      </c>
      <c r="H114" s="19">
        <v>0</v>
      </c>
      <c r="I114" s="20" t="s">
        <v>8</v>
      </c>
      <c r="J114" s="20" t="s">
        <v>7</v>
      </c>
      <c r="K114" s="20" t="s">
        <v>9</v>
      </c>
      <c r="L114" s="20">
        <f t="shared" si="6"/>
        <v>762</v>
      </c>
      <c r="M114" s="4" t="str">
        <f>IF(Table3[[#This Row],[Afrondingsdatum YB]]="N/A","-",Table3[[#This Row],[Afrondingsdatum YB]]-Table3[[#This Row],[StartDatum]])</f>
        <v>-</v>
      </c>
      <c r="N114" s="4"/>
      <c r="O114">
        <f t="shared" si="10"/>
        <v>111</v>
      </c>
      <c r="P114">
        <f t="shared" si="10"/>
        <v>108</v>
      </c>
      <c r="Q114">
        <f t="shared" si="10"/>
        <v>105</v>
      </c>
      <c r="R114">
        <f t="shared" si="10"/>
        <v>118</v>
      </c>
      <c r="S114">
        <f t="shared" si="10"/>
        <v>105</v>
      </c>
      <c r="T114">
        <f t="shared" si="10"/>
        <v>101</v>
      </c>
      <c r="U114">
        <f t="shared" si="10"/>
        <v>114</v>
      </c>
      <c r="V114">
        <f t="shared" si="9"/>
        <v>46</v>
      </c>
      <c r="W114" s="5">
        <f t="shared" si="7"/>
        <v>876</v>
      </c>
      <c r="X114" s="9" t="str">
        <f t="shared" si="8"/>
        <v>l876</v>
      </c>
    </row>
    <row r="115" spans="1:24" x14ac:dyDescent="0.2">
      <c r="A115" s="9" t="s">
        <v>425</v>
      </c>
      <c r="B115" s="9">
        <v>1</v>
      </c>
      <c r="C115" s="22">
        <v>3</v>
      </c>
      <c r="D115" s="25"/>
      <c r="E115" s="23">
        <v>45187</v>
      </c>
      <c r="F115" s="23" t="s">
        <v>362</v>
      </c>
      <c r="G115" s="25" t="s">
        <v>58</v>
      </c>
      <c r="H115" s="24">
        <v>0</v>
      </c>
      <c r="I115" s="25" t="s">
        <v>8</v>
      </c>
      <c r="J115" s="25" t="s">
        <v>7</v>
      </c>
      <c r="K115" s="25" t="s">
        <v>9</v>
      </c>
      <c r="L115" s="25">
        <f t="shared" si="6"/>
        <v>681</v>
      </c>
      <c r="M115" s="4" t="str">
        <f>IF(Table3[[#This Row],[Afrondingsdatum YB]]="N/A","-",Table3[[#This Row],[Afrondingsdatum YB]]-Table3[[#This Row],[StartDatum]])</f>
        <v>-</v>
      </c>
      <c r="N115" s="4"/>
      <c r="O115">
        <f t="shared" si="10"/>
        <v>112</v>
      </c>
      <c r="P115">
        <f t="shared" si="10"/>
        <v>97</v>
      </c>
      <c r="Q115">
        <f t="shared" si="10"/>
        <v>117</v>
      </c>
      <c r="R115">
        <f t="shared" si="10"/>
        <v>108</v>
      </c>
      <c r="S115">
        <f t="shared" si="10"/>
        <v>46</v>
      </c>
      <c r="T115">
        <f t="shared" si="10"/>
        <v>100</v>
      </c>
      <c r="U115">
        <f t="shared" si="10"/>
        <v>101</v>
      </c>
      <c r="V115">
        <f t="shared" si="9"/>
        <v>46</v>
      </c>
      <c r="W115" s="5">
        <f t="shared" si="7"/>
        <v>832</v>
      </c>
      <c r="X115" s="9" t="str">
        <f t="shared" si="8"/>
        <v>a832</v>
      </c>
    </row>
    <row r="116" spans="1:24" x14ac:dyDescent="0.2">
      <c r="A116" s="9" t="s">
        <v>425</v>
      </c>
      <c r="B116" s="9">
        <v>1</v>
      </c>
      <c r="C116" s="22">
        <v>3</v>
      </c>
      <c r="D116" s="25"/>
      <c r="E116" s="18">
        <v>45187</v>
      </c>
      <c r="F116" s="18" t="s">
        <v>364</v>
      </c>
      <c r="G116" s="20" t="s">
        <v>59</v>
      </c>
      <c r="H116" s="19">
        <v>0.11</v>
      </c>
      <c r="I116" s="20" t="s">
        <v>83</v>
      </c>
      <c r="J116" s="20" t="s">
        <v>7</v>
      </c>
      <c r="K116" s="20" t="s">
        <v>9</v>
      </c>
      <c r="L116" s="20">
        <f t="shared" si="6"/>
        <v>695</v>
      </c>
      <c r="M116" s="4" t="str">
        <f>IF(Table3[[#This Row],[Afrondingsdatum YB]]="N/A","-",Table3[[#This Row],[Afrondingsdatum YB]]-Table3[[#This Row],[StartDatum]])</f>
        <v>-</v>
      </c>
      <c r="N116" s="4"/>
      <c r="O116">
        <f t="shared" si="10"/>
        <v>112</v>
      </c>
      <c r="P116">
        <f t="shared" si="10"/>
        <v>105</v>
      </c>
      <c r="Q116">
        <f t="shared" si="10"/>
        <v>101</v>
      </c>
      <c r="R116">
        <f t="shared" ref="P116:V156" si="11">CODE(MID($G116,R$1,1))</f>
        <v>116</v>
      </c>
      <c r="S116">
        <f t="shared" si="11"/>
        <v>101</v>
      </c>
      <c r="T116">
        <f t="shared" si="11"/>
        <v>114</v>
      </c>
      <c r="U116">
        <f t="shared" si="11"/>
        <v>46</v>
      </c>
      <c r="V116">
        <f t="shared" si="9"/>
        <v>109</v>
      </c>
      <c r="W116" s="5">
        <f t="shared" si="7"/>
        <v>867</v>
      </c>
      <c r="X116" s="9" t="str">
        <f t="shared" si="8"/>
        <v>i867</v>
      </c>
    </row>
    <row r="117" spans="1:24" x14ac:dyDescent="0.2">
      <c r="A117" s="9" t="s">
        <v>425</v>
      </c>
      <c r="B117" s="9">
        <v>1</v>
      </c>
      <c r="C117" s="22">
        <v>3</v>
      </c>
      <c r="D117" s="25"/>
      <c r="E117" s="23">
        <v>45187</v>
      </c>
      <c r="F117" s="23" t="s">
        <v>362</v>
      </c>
      <c r="G117" s="25" t="s">
        <v>60</v>
      </c>
      <c r="H117" s="24">
        <v>0.11</v>
      </c>
      <c r="I117" s="25" t="s">
        <v>83</v>
      </c>
      <c r="J117" s="25" t="s">
        <v>7</v>
      </c>
      <c r="K117" s="25" t="s">
        <v>9</v>
      </c>
      <c r="L117" s="25">
        <f t="shared" si="6"/>
        <v>703</v>
      </c>
      <c r="M117" s="4" t="str">
        <f>IF(Table3[[#This Row],[Afrondingsdatum YB]]="N/A","-",Table3[[#This Row],[Afrondingsdatum YB]]-Table3[[#This Row],[StartDatum]])</f>
        <v>-</v>
      </c>
      <c r="N117" s="4"/>
      <c r="O117">
        <f t="shared" ref="O117:O180" si="12">CODE(MID($G117,O$1,1))</f>
        <v>114</v>
      </c>
      <c r="P117">
        <f t="shared" si="11"/>
        <v>101</v>
      </c>
      <c r="Q117">
        <f t="shared" si="11"/>
        <v>110</v>
      </c>
      <c r="R117">
        <f t="shared" si="11"/>
        <v>115</v>
      </c>
      <c r="S117">
        <f t="shared" si="11"/>
        <v>46</v>
      </c>
      <c r="T117">
        <f t="shared" si="11"/>
        <v>103</v>
      </c>
      <c r="U117">
        <f t="shared" si="11"/>
        <v>114</v>
      </c>
      <c r="V117">
        <f t="shared" si="9"/>
        <v>111</v>
      </c>
      <c r="W117" s="5">
        <f t="shared" si="7"/>
        <v>897</v>
      </c>
      <c r="X117" s="9" t="str">
        <f t="shared" si="8"/>
        <v>e897</v>
      </c>
    </row>
    <row r="118" spans="1:24" x14ac:dyDescent="0.2">
      <c r="A118" s="9" t="s">
        <v>425</v>
      </c>
      <c r="B118" s="9">
        <v>1</v>
      </c>
      <c r="C118" s="22">
        <v>3</v>
      </c>
      <c r="D118" s="25"/>
      <c r="E118" s="18">
        <v>45187</v>
      </c>
      <c r="F118" s="18" t="s">
        <v>363</v>
      </c>
      <c r="G118" s="20" t="s">
        <v>61</v>
      </c>
      <c r="H118" s="19">
        <v>0</v>
      </c>
      <c r="I118" s="20" t="s">
        <v>8</v>
      </c>
      <c r="J118" s="20" t="s">
        <v>7</v>
      </c>
      <c r="K118" s="20" t="s">
        <v>9</v>
      </c>
      <c r="L118" s="20">
        <f t="shared" si="6"/>
        <v>697</v>
      </c>
      <c r="M118" s="4" t="str">
        <f>IF(Table3[[#This Row],[Afrondingsdatum YB]]="N/A","-",Table3[[#This Row],[Afrondingsdatum YB]]-Table3[[#This Row],[StartDatum]])</f>
        <v>-</v>
      </c>
      <c r="N118" s="4"/>
      <c r="O118">
        <f t="shared" si="12"/>
        <v>114</v>
      </c>
      <c r="P118">
        <f t="shared" si="11"/>
        <v>111</v>
      </c>
      <c r="Q118">
        <f t="shared" si="11"/>
        <v>119</v>
      </c>
      <c r="R118">
        <f t="shared" si="11"/>
        <v>97</v>
      </c>
      <c r="S118">
        <f t="shared" si="11"/>
        <v>110</v>
      </c>
      <c r="T118">
        <f t="shared" si="11"/>
        <v>46</v>
      </c>
      <c r="U118">
        <f t="shared" si="11"/>
        <v>100</v>
      </c>
      <c r="V118">
        <f t="shared" si="9"/>
        <v>101</v>
      </c>
      <c r="W118" s="5">
        <f t="shared" si="7"/>
        <v>908</v>
      </c>
      <c r="X118" s="9" t="str">
        <f t="shared" si="8"/>
        <v>o908</v>
      </c>
    </row>
    <row r="119" spans="1:24" x14ac:dyDescent="0.2">
      <c r="A119" s="9" t="s">
        <v>425</v>
      </c>
      <c r="B119" s="9">
        <v>1</v>
      </c>
      <c r="C119" s="22">
        <v>3</v>
      </c>
      <c r="D119" s="25"/>
      <c r="E119" s="23">
        <v>45187</v>
      </c>
      <c r="F119" s="23" t="s">
        <v>363</v>
      </c>
      <c r="G119" s="25" t="s">
        <v>84</v>
      </c>
      <c r="H119" s="24">
        <v>0.11</v>
      </c>
      <c r="I119" s="25" t="s">
        <v>85</v>
      </c>
      <c r="J119" s="25" t="s">
        <v>7</v>
      </c>
      <c r="K119" s="25" t="s">
        <v>9</v>
      </c>
      <c r="L119" s="25">
        <f t="shared" si="6"/>
        <v>683</v>
      </c>
      <c r="M119" s="4" t="str">
        <f>IF(Table3[[#This Row],[Afrondingsdatum YB]]="N/A","-",Table3[[#This Row],[Afrondingsdatum YB]]-Table3[[#This Row],[StartDatum]])</f>
        <v>-</v>
      </c>
      <c r="N119" s="4"/>
      <c r="O119">
        <f t="shared" si="12"/>
        <v>115</v>
      </c>
      <c r="P119">
        <f t="shared" si="11"/>
        <v>97</v>
      </c>
      <c r="Q119">
        <f t="shared" si="11"/>
        <v>110</v>
      </c>
      <c r="R119">
        <f t="shared" si="11"/>
        <v>100</v>
      </c>
      <c r="S119">
        <f t="shared" si="11"/>
        <v>101</v>
      </c>
      <c r="T119">
        <f t="shared" si="11"/>
        <v>114</v>
      </c>
      <c r="U119">
        <f t="shared" si="11"/>
        <v>46</v>
      </c>
      <c r="V119">
        <f t="shared" si="9"/>
        <v>98</v>
      </c>
      <c r="W119" s="5">
        <f t="shared" si="7"/>
        <v>878</v>
      </c>
      <c r="X119" s="9" t="str">
        <f t="shared" si="8"/>
        <v>a878</v>
      </c>
    </row>
    <row r="120" spans="1:24" x14ac:dyDescent="0.2">
      <c r="A120" s="9" t="s">
        <v>425</v>
      </c>
      <c r="B120" s="9">
        <v>1</v>
      </c>
      <c r="C120" s="22">
        <v>3</v>
      </c>
      <c r="D120" s="25"/>
      <c r="E120" s="18">
        <v>45187</v>
      </c>
      <c r="F120" s="18" t="s">
        <v>363</v>
      </c>
      <c r="G120" s="20" t="s">
        <v>62</v>
      </c>
      <c r="H120" s="19">
        <v>0.09</v>
      </c>
      <c r="I120" s="20" t="s">
        <v>86</v>
      </c>
      <c r="J120" s="20" t="s">
        <v>7</v>
      </c>
      <c r="K120" s="20" t="s">
        <v>9</v>
      </c>
      <c r="L120" s="20">
        <f t="shared" si="6"/>
        <v>670</v>
      </c>
      <c r="M120" s="4" t="str">
        <f>IF(Table3[[#This Row],[Afrondingsdatum YB]]="N/A","-",Table3[[#This Row],[Afrondingsdatum YB]]-Table3[[#This Row],[StartDatum]])</f>
        <v>-</v>
      </c>
      <c r="N120" s="4"/>
      <c r="O120">
        <f t="shared" si="12"/>
        <v>115</v>
      </c>
      <c r="P120">
        <f t="shared" si="11"/>
        <v>97</v>
      </c>
      <c r="Q120">
        <f t="shared" si="11"/>
        <v>114</v>
      </c>
      <c r="R120">
        <f t="shared" si="11"/>
        <v>97</v>
      </c>
      <c r="S120">
        <f t="shared" si="11"/>
        <v>46</v>
      </c>
      <c r="T120">
        <f t="shared" si="11"/>
        <v>100</v>
      </c>
      <c r="U120">
        <f t="shared" si="11"/>
        <v>101</v>
      </c>
      <c r="V120">
        <f t="shared" si="9"/>
        <v>46</v>
      </c>
      <c r="W120" s="5">
        <f t="shared" si="7"/>
        <v>823</v>
      </c>
      <c r="X120" s="9" t="str">
        <f t="shared" si="8"/>
        <v>a823</v>
      </c>
    </row>
    <row r="121" spans="1:24" x14ac:dyDescent="0.2">
      <c r="A121" s="9" t="s">
        <v>425</v>
      </c>
      <c r="B121" s="9">
        <v>1</v>
      </c>
      <c r="C121" s="22">
        <v>3</v>
      </c>
      <c r="D121" s="25"/>
      <c r="E121" s="23">
        <v>45187</v>
      </c>
      <c r="F121" s="23" t="s">
        <v>362</v>
      </c>
      <c r="G121" s="25" t="s">
        <v>131</v>
      </c>
      <c r="H121" s="24">
        <v>0</v>
      </c>
      <c r="I121" s="25" t="s">
        <v>8</v>
      </c>
      <c r="J121" s="25" t="s">
        <v>7</v>
      </c>
      <c r="K121" s="25" t="s">
        <v>9</v>
      </c>
      <c r="L121" s="25">
        <f t="shared" si="6"/>
        <v>675</v>
      </c>
      <c r="M121" s="4" t="str">
        <f>IF(Table3[[#This Row],[Afrondingsdatum YB]]="N/A","-",Table3[[#This Row],[Afrondingsdatum YB]]-Table3[[#This Row],[StartDatum]])</f>
        <v>-</v>
      </c>
      <c r="N121" s="4"/>
      <c r="O121">
        <f t="shared" si="12"/>
        <v>115</v>
      </c>
      <c r="P121">
        <f t="shared" si="11"/>
        <v>97</v>
      </c>
      <c r="Q121">
        <f t="shared" si="11"/>
        <v>114</v>
      </c>
      <c r="R121">
        <f t="shared" si="11"/>
        <v>97</v>
      </c>
      <c r="S121">
        <f t="shared" si="11"/>
        <v>104</v>
      </c>
      <c r="T121">
        <f t="shared" si="11"/>
        <v>46</v>
      </c>
      <c r="U121">
        <f t="shared" si="11"/>
        <v>102</v>
      </c>
      <c r="V121">
        <f t="shared" si="9"/>
        <v>97</v>
      </c>
      <c r="W121" s="5">
        <f t="shared" si="7"/>
        <v>879</v>
      </c>
      <c r="X121" s="9" t="str">
        <f t="shared" si="8"/>
        <v>a879</v>
      </c>
    </row>
    <row r="122" spans="1:24" x14ac:dyDescent="0.2">
      <c r="A122" s="9" t="s">
        <v>425</v>
      </c>
      <c r="B122" s="9">
        <v>1</v>
      </c>
      <c r="C122" s="22">
        <v>3</v>
      </c>
      <c r="D122" s="25"/>
      <c r="E122" s="18">
        <v>45187</v>
      </c>
      <c r="F122" s="18" t="s">
        <v>362</v>
      </c>
      <c r="G122" s="20" t="s">
        <v>63</v>
      </c>
      <c r="H122" s="19">
        <v>0.09</v>
      </c>
      <c r="I122" s="20" t="s">
        <v>87</v>
      </c>
      <c r="J122" s="20" t="s">
        <v>7</v>
      </c>
      <c r="K122" s="20" t="s">
        <v>9</v>
      </c>
      <c r="L122" s="20">
        <f t="shared" si="6"/>
        <v>673</v>
      </c>
      <c r="M122" s="4" t="str">
        <f>IF(Table3[[#This Row],[Afrondingsdatum YB]]="N/A","-",Table3[[#This Row],[Afrondingsdatum YB]]-Table3[[#This Row],[StartDatum]])</f>
        <v>-</v>
      </c>
      <c r="N122" s="4"/>
      <c r="O122">
        <f t="shared" si="12"/>
        <v>83</v>
      </c>
      <c r="P122">
        <f t="shared" si="11"/>
        <v>121</v>
      </c>
      <c r="Q122">
        <f t="shared" si="11"/>
        <v>98</v>
      </c>
      <c r="R122">
        <f t="shared" si="11"/>
        <v>114</v>
      </c>
      <c r="S122">
        <f t="shared" si="11"/>
        <v>101</v>
      </c>
      <c r="T122">
        <f t="shared" si="11"/>
        <v>110</v>
      </c>
      <c r="U122">
        <f t="shared" si="11"/>
        <v>46</v>
      </c>
      <c r="V122">
        <f t="shared" si="9"/>
        <v>104</v>
      </c>
      <c r="W122" s="5">
        <f t="shared" si="7"/>
        <v>827</v>
      </c>
      <c r="X122" s="9" t="str">
        <f t="shared" si="8"/>
        <v>y827</v>
      </c>
    </row>
    <row r="123" spans="1:24" x14ac:dyDescent="0.2">
      <c r="A123" s="9" t="s">
        <v>425</v>
      </c>
      <c r="B123" s="9">
        <v>1</v>
      </c>
      <c r="C123" s="22">
        <v>3</v>
      </c>
      <c r="D123" s="25"/>
      <c r="E123" s="23">
        <v>45187</v>
      </c>
      <c r="F123" s="23" t="s">
        <v>363</v>
      </c>
      <c r="G123" s="25" t="s">
        <v>64</v>
      </c>
      <c r="H123" s="24">
        <v>7.0000000000000007E-2</v>
      </c>
      <c r="I123" s="25" t="s">
        <v>88</v>
      </c>
      <c r="J123" s="25" t="s">
        <v>7</v>
      </c>
      <c r="K123" s="25" t="s">
        <v>9</v>
      </c>
      <c r="L123" s="25">
        <f t="shared" si="6"/>
        <v>709</v>
      </c>
      <c r="M123" s="4" t="str">
        <f>IF(Table3[[#This Row],[Afrondingsdatum YB]]="N/A","-",Table3[[#This Row],[Afrondingsdatum YB]]-Table3[[#This Row],[StartDatum]])</f>
        <v>-</v>
      </c>
      <c r="N123" s="4"/>
      <c r="O123">
        <f t="shared" si="12"/>
        <v>116</v>
      </c>
      <c r="P123">
        <f t="shared" si="11"/>
        <v>101</v>
      </c>
      <c r="Q123">
        <f t="shared" si="11"/>
        <v>117</v>
      </c>
      <c r="R123">
        <f t="shared" si="11"/>
        <v>110</v>
      </c>
      <c r="S123">
        <f t="shared" si="11"/>
        <v>46</v>
      </c>
      <c r="T123">
        <f t="shared" si="11"/>
        <v>114</v>
      </c>
      <c r="U123">
        <f t="shared" si="11"/>
        <v>105</v>
      </c>
      <c r="V123">
        <f t="shared" si="9"/>
        <v>110</v>
      </c>
      <c r="W123" s="5">
        <f t="shared" si="7"/>
        <v>920</v>
      </c>
      <c r="X123" s="9" t="str">
        <f t="shared" si="8"/>
        <v>e920</v>
      </c>
    </row>
    <row r="124" spans="1:24" x14ac:dyDescent="0.2">
      <c r="A124" s="9" t="s">
        <v>425</v>
      </c>
      <c r="B124" s="9">
        <v>1</v>
      </c>
      <c r="C124" s="22">
        <v>3</v>
      </c>
      <c r="D124" s="25"/>
      <c r="E124" s="18">
        <v>45187</v>
      </c>
      <c r="F124" s="18" t="s">
        <v>364</v>
      </c>
      <c r="G124" s="20" t="s">
        <v>65</v>
      </c>
      <c r="H124" s="19">
        <v>0</v>
      </c>
      <c r="I124" s="20" t="s">
        <v>8</v>
      </c>
      <c r="J124" s="20" t="s">
        <v>7</v>
      </c>
      <c r="K124" s="20" t="s">
        <v>9</v>
      </c>
      <c r="L124" s="20">
        <f t="shared" si="6"/>
        <v>711</v>
      </c>
      <c r="M124" s="4" t="str">
        <f>IF(Table3[[#This Row],[Afrondingsdatum YB]]="N/A","-",Table3[[#This Row],[Afrondingsdatum YB]]-Table3[[#This Row],[StartDatum]])</f>
        <v>-</v>
      </c>
      <c r="N124" s="4"/>
      <c r="O124">
        <f t="shared" si="12"/>
        <v>119</v>
      </c>
      <c r="P124">
        <f t="shared" si="11"/>
        <v>101</v>
      </c>
      <c r="Q124">
        <f t="shared" si="11"/>
        <v>115</v>
      </c>
      <c r="R124">
        <f t="shared" si="11"/>
        <v>108</v>
      </c>
      <c r="S124">
        <f t="shared" si="11"/>
        <v>101</v>
      </c>
      <c r="T124">
        <f t="shared" si="11"/>
        <v>121</v>
      </c>
      <c r="U124">
        <f t="shared" si="11"/>
        <v>46</v>
      </c>
      <c r="V124">
        <f t="shared" si="9"/>
        <v>99</v>
      </c>
      <c r="W124" s="5">
        <f t="shared" si="7"/>
        <v>909</v>
      </c>
      <c r="X124" s="9" t="str">
        <f t="shared" si="8"/>
        <v>e909</v>
      </c>
    </row>
    <row r="125" spans="1:24" x14ac:dyDescent="0.2">
      <c r="A125" s="9" t="s">
        <v>425</v>
      </c>
      <c r="B125" s="9">
        <v>1</v>
      </c>
      <c r="C125" s="22">
        <v>3</v>
      </c>
      <c r="D125" s="25"/>
      <c r="E125" s="23">
        <v>45187</v>
      </c>
      <c r="F125" s="23" t="s">
        <v>364</v>
      </c>
      <c r="G125" s="25" t="s">
        <v>66</v>
      </c>
      <c r="H125" s="24">
        <v>0</v>
      </c>
      <c r="I125" s="25" t="s">
        <v>8</v>
      </c>
      <c r="J125" s="25" t="s">
        <v>7</v>
      </c>
      <c r="K125" s="25" t="s">
        <v>9</v>
      </c>
      <c r="L125" s="25">
        <f t="shared" si="6"/>
        <v>697</v>
      </c>
      <c r="M125" s="4" t="str">
        <f>IF(Table3[[#This Row],[Afrondingsdatum YB]]="N/A","-",Table3[[#This Row],[Afrondingsdatum YB]]-Table3[[#This Row],[StartDatum]])</f>
        <v>-</v>
      </c>
      <c r="N125" s="4"/>
      <c r="O125">
        <f t="shared" si="12"/>
        <v>121</v>
      </c>
      <c r="P125">
        <f t="shared" si="11"/>
        <v>97</v>
      </c>
      <c r="Q125">
        <f t="shared" si="11"/>
        <v>115</v>
      </c>
      <c r="R125">
        <f t="shared" si="11"/>
        <v>105</v>
      </c>
      <c r="S125">
        <f t="shared" si="11"/>
        <v>110</v>
      </c>
      <c r="T125">
        <f t="shared" si="11"/>
        <v>46</v>
      </c>
      <c r="U125">
        <f t="shared" si="11"/>
        <v>103</v>
      </c>
      <c r="V125">
        <f t="shared" si="9"/>
        <v>111</v>
      </c>
      <c r="W125" s="5">
        <f t="shared" si="7"/>
        <v>911</v>
      </c>
      <c r="X125" s="9" t="str">
        <f t="shared" si="8"/>
        <v>a911</v>
      </c>
    </row>
    <row r="126" spans="1:24" x14ac:dyDescent="0.2">
      <c r="A126" s="9" t="s">
        <v>425</v>
      </c>
      <c r="B126" s="9">
        <v>1</v>
      </c>
      <c r="C126" s="22">
        <v>3</v>
      </c>
      <c r="D126" s="25"/>
      <c r="E126" s="18">
        <v>45187</v>
      </c>
      <c r="F126" s="18" t="s">
        <v>364</v>
      </c>
      <c r="G126" s="20" t="s">
        <v>67</v>
      </c>
      <c r="H126" s="19">
        <v>0</v>
      </c>
      <c r="I126" s="20" t="s">
        <v>8</v>
      </c>
      <c r="J126" s="20" t="s">
        <v>7</v>
      </c>
      <c r="K126" s="20" t="s">
        <v>9</v>
      </c>
      <c r="L126" s="20">
        <f t="shared" si="6"/>
        <v>764</v>
      </c>
      <c r="M126" s="4" t="str">
        <f>IF(Table3[[#This Row],[Afrondingsdatum YB]]="N/A","-",Table3[[#This Row],[Afrondingsdatum YB]]-Table3[[#This Row],[StartDatum]])</f>
        <v>-</v>
      </c>
      <c r="N126" s="4"/>
      <c r="O126">
        <f t="shared" si="12"/>
        <v>121</v>
      </c>
      <c r="P126">
        <f t="shared" si="11"/>
        <v>97</v>
      </c>
      <c r="Q126">
        <f t="shared" si="11"/>
        <v>115</v>
      </c>
      <c r="R126">
        <f t="shared" si="11"/>
        <v>115</v>
      </c>
      <c r="S126">
        <f t="shared" si="11"/>
        <v>105</v>
      </c>
      <c r="T126">
        <f t="shared" si="11"/>
        <v>110</v>
      </c>
      <c r="U126">
        <f t="shared" si="11"/>
        <v>101</v>
      </c>
      <c r="V126">
        <f t="shared" si="9"/>
        <v>46</v>
      </c>
      <c r="W126" s="5">
        <f t="shared" si="7"/>
        <v>905</v>
      </c>
      <c r="X126" s="9" t="str">
        <f t="shared" si="8"/>
        <v>a905</v>
      </c>
    </row>
    <row r="127" spans="1:24" x14ac:dyDescent="0.2">
      <c r="A127" s="9" t="s">
        <v>425</v>
      </c>
      <c r="B127" s="9">
        <v>1</v>
      </c>
      <c r="C127" s="22">
        <v>3</v>
      </c>
      <c r="D127" s="25"/>
      <c r="E127" s="23">
        <v>45187</v>
      </c>
      <c r="F127" s="23" t="s">
        <v>363</v>
      </c>
      <c r="G127" s="25" t="s">
        <v>68</v>
      </c>
      <c r="H127" s="24">
        <v>0</v>
      </c>
      <c r="I127" s="25" t="s">
        <v>8</v>
      </c>
      <c r="J127" s="25" t="s">
        <v>7</v>
      </c>
      <c r="K127" s="25" t="s">
        <v>9</v>
      </c>
      <c r="L127" s="25">
        <f t="shared" si="6"/>
        <v>721</v>
      </c>
      <c r="M127" s="4" t="str">
        <f>IF(Table3[[#This Row],[Afrondingsdatum YB]]="N/A","-",Table3[[#This Row],[Afrondingsdatum YB]]-Table3[[#This Row],[StartDatum]])</f>
        <v>-</v>
      </c>
      <c r="N127" s="4"/>
      <c r="O127">
        <f t="shared" si="12"/>
        <v>121</v>
      </c>
      <c r="P127">
        <f t="shared" si="11"/>
        <v>111</v>
      </c>
      <c r="Q127">
        <f t="shared" si="11"/>
        <v>117</v>
      </c>
      <c r="R127">
        <f t="shared" si="11"/>
        <v>114</v>
      </c>
      <c r="S127">
        <f t="shared" si="11"/>
        <v>105</v>
      </c>
      <c r="T127">
        <f t="shared" si="11"/>
        <v>46</v>
      </c>
      <c r="U127">
        <f t="shared" si="11"/>
        <v>107</v>
      </c>
      <c r="V127">
        <f t="shared" si="9"/>
        <v>101</v>
      </c>
      <c r="W127" s="5">
        <f t="shared" si="7"/>
        <v>915</v>
      </c>
      <c r="X127" s="9" t="str">
        <f t="shared" si="8"/>
        <v>o915</v>
      </c>
    </row>
    <row r="128" spans="1:24" x14ac:dyDescent="0.2">
      <c r="A128" s="9" t="s">
        <v>425</v>
      </c>
      <c r="B128" s="10">
        <v>1</v>
      </c>
      <c r="C128" s="27">
        <v>4</v>
      </c>
      <c r="D128" s="21"/>
      <c r="E128" s="28">
        <v>45194</v>
      </c>
      <c r="F128" s="18" t="s">
        <v>363</v>
      </c>
      <c r="G128" s="21" t="s">
        <v>10</v>
      </c>
      <c r="H128" s="29">
        <v>0.64</v>
      </c>
      <c r="I128" s="21" t="s">
        <v>89</v>
      </c>
      <c r="J128" s="21" t="s">
        <v>7</v>
      </c>
      <c r="K128" s="21" t="s">
        <v>9</v>
      </c>
      <c r="L128" s="20">
        <f t="shared" si="6"/>
        <v>662</v>
      </c>
      <c r="M128" s="4" t="str">
        <f>IF(Table3[[#This Row],[Afrondingsdatum YB]]="N/A","-",Table3[[#This Row],[Afrondingsdatum YB]]-Table3[[#This Row],[StartDatum]])</f>
        <v>-</v>
      </c>
      <c r="N128" s="4"/>
      <c r="O128">
        <f t="shared" si="12"/>
        <v>97</v>
      </c>
      <c r="P128">
        <f t="shared" si="11"/>
        <v>100</v>
      </c>
      <c r="Q128">
        <f t="shared" si="11"/>
        <v>97</v>
      </c>
      <c r="R128">
        <f t="shared" si="11"/>
        <v>109</v>
      </c>
      <c r="S128">
        <f t="shared" si="11"/>
        <v>46</v>
      </c>
      <c r="T128">
        <f t="shared" si="11"/>
        <v>97</v>
      </c>
      <c r="U128">
        <f t="shared" si="11"/>
        <v>116</v>
      </c>
      <c r="V128">
        <f t="shared" si="9"/>
        <v>116</v>
      </c>
      <c r="W128" s="5">
        <f t="shared" si="7"/>
        <v>840</v>
      </c>
      <c r="X128" s="9" t="str">
        <f t="shared" si="8"/>
        <v>d840</v>
      </c>
    </row>
    <row r="129" spans="1:24" x14ac:dyDescent="0.2">
      <c r="A129" s="9" t="s">
        <v>425</v>
      </c>
      <c r="B129" s="10">
        <v>1</v>
      </c>
      <c r="C129" s="27">
        <v>4</v>
      </c>
      <c r="D129" s="21"/>
      <c r="E129" s="30">
        <v>45194</v>
      </c>
      <c r="F129" s="23" t="s">
        <v>362</v>
      </c>
      <c r="G129" s="26" t="s">
        <v>11</v>
      </c>
      <c r="H129" s="31">
        <v>0</v>
      </c>
      <c r="I129" s="26" t="s">
        <v>8</v>
      </c>
      <c r="J129" s="26" t="s">
        <v>7</v>
      </c>
      <c r="K129" s="26" t="s">
        <v>9</v>
      </c>
      <c r="L129" s="25">
        <f t="shared" si="6"/>
        <v>641</v>
      </c>
      <c r="M129" s="4" t="str">
        <f>IF(Table3[[#This Row],[Afrondingsdatum YB]]="N/A","-",Table3[[#This Row],[Afrondingsdatum YB]]-Table3[[#This Row],[StartDatum]])</f>
        <v>-</v>
      </c>
      <c r="N129" s="4"/>
      <c r="O129">
        <f t="shared" si="12"/>
        <v>65</v>
      </c>
      <c r="P129">
        <f t="shared" si="11"/>
        <v>100</v>
      </c>
      <c r="Q129">
        <f t="shared" si="11"/>
        <v>105</v>
      </c>
      <c r="R129">
        <f t="shared" si="11"/>
        <v>108</v>
      </c>
      <c r="S129">
        <f t="shared" si="11"/>
        <v>46</v>
      </c>
      <c r="T129">
        <f t="shared" si="11"/>
        <v>106</v>
      </c>
      <c r="U129">
        <f t="shared" si="11"/>
        <v>111</v>
      </c>
      <c r="V129">
        <f t="shared" si="9"/>
        <v>117</v>
      </c>
      <c r="W129" s="5">
        <f t="shared" si="7"/>
        <v>837</v>
      </c>
      <c r="X129" s="9" t="str">
        <f t="shared" si="8"/>
        <v>d837</v>
      </c>
    </row>
    <row r="130" spans="1:24" x14ac:dyDescent="0.2">
      <c r="A130" s="9" t="s">
        <v>425</v>
      </c>
      <c r="B130" s="10">
        <v>1</v>
      </c>
      <c r="C130" s="27">
        <v>4</v>
      </c>
      <c r="D130" s="21"/>
      <c r="E130" s="28">
        <v>45194</v>
      </c>
      <c r="F130" s="18" t="s">
        <v>364</v>
      </c>
      <c r="G130" s="21" t="s">
        <v>12</v>
      </c>
      <c r="H130" s="29">
        <v>0.11</v>
      </c>
      <c r="I130" s="21" t="s">
        <v>83</v>
      </c>
      <c r="J130" s="21" t="s">
        <v>7</v>
      </c>
      <c r="K130" s="21" t="s">
        <v>9</v>
      </c>
      <c r="L130" s="20">
        <f t="shared" ref="L130:L193" si="13">SUM(O130:U130)</f>
        <v>677</v>
      </c>
      <c r="M130" s="4" t="str">
        <f>IF(Table3[[#This Row],[Afrondingsdatum YB]]="N/A","-",Table3[[#This Row],[Afrondingsdatum YB]]-Table3[[#This Row],[StartDatum]])</f>
        <v>-</v>
      </c>
      <c r="N130" s="4"/>
      <c r="O130">
        <f t="shared" si="12"/>
        <v>97</v>
      </c>
      <c r="P130">
        <f t="shared" si="11"/>
        <v>103</v>
      </c>
      <c r="Q130">
        <f t="shared" si="11"/>
        <v>104</v>
      </c>
      <c r="R130">
        <f t="shared" si="11"/>
        <v>105</v>
      </c>
      <c r="S130">
        <f t="shared" si="11"/>
        <v>108</v>
      </c>
      <c r="T130">
        <f t="shared" si="11"/>
        <v>46</v>
      </c>
      <c r="U130">
        <f t="shared" si="11"/>
        <v>114</v>
      </c>
      <c r="V130">
        <f t="shared" si="9"/>
        <v>101</v>
      </c>
      <c r="W130" s="5">
        <f t="shared" si="7"/>
        <v>856</v>
      </c>
      <c r="X130" s="9" t="str">
        <f t="shared" si="8"/>
        <v>g856</v>
      </c>
    </row>
    <row r="131" spans="1:24" x14ac:dyDescent="0.2">
      <c r="A131" s="9" t="s">
        <v>425</v>
      </c>
      <c r="B131" s="10">
        <v>1</v>
      </c>
      <c r="C131" s="27">
        <v>4</v>
      </c>
      <c r="D131" s="21"/>
      <c r="E131" s="30">
        <v>45194</v>
      </c>
      <c r="F131" s="23" t="s">
        <v>364</v>
      </c>
      <c r="G131" s="26" t="s">
        <v>13</v>
      </c>
      <c r="H131" s="31">
        <v>0.08</v>
      </c>
      <c r="I131" s="26" t="s">
        <v>76</v>
      </c>
      <c r="J131" s="26" t="s">
        <v>7</v>
      </c>
      <c r="K131" s="26" t="s">
        <v>9</v>
      </c>
      <c r="L131" s="25">
        <f t="shared" si="13"/>
        <v>669</v>
      </c>
      <c r="M131" s="4" t="str">
        <f>IF(Table3[[#This Row],[Afrondingsdatum YB]]="N/A","-",Table3[[#This Row],[Afrondingsdatum YB]]-Table3[[#This Row],[StartDatum]])</f>
        <v>-</v>
      </c>
      <c r="N131" s="4"/>
      <c r="O131">
        <f t="shared" si="12"/>
        <v>97</v>
      </c>
      <c r="P131">
        <f t="shared" si="11"/>
        <v>109</v>
      </c>
      <c r="Q131">
        <f t="shared" si="11"/>
        <v>105</v>
      </c>
      <c r="R131">
        <f t="shared" si="11"/>
        <v>110</v>
      </c>
      <c r="S131">
        <f t="shared" si="11"/>
        <v>101</v>
      </c>
      <c r="T131">
        <f t="shared" si="11"/>
        <v>46</v>
      </c>
      <c r="U131">
        <f t="shared" si="11"/>
        <v>101</v>
      </c>
      <c r="V131">
        <f t="shared" si="9"/>
        <v>108</v>
      </c>
      <c r="W131" s="5">
        <f t="shared" ref="W131:W194" si="14">ROUND((O131*O$1+P131/P$1+Q131*Q$1+R131/R$1)+SUM(S131:V131),0)</f>
        <v>850</v>
      </c>
      <c r="X131" s="9" t="str">
        <f t="shared" ref="X131:X194" si="15">MID(G131,2,1)&amp;TEXT(W131,"###")</f>
        <v>m850</v>
      </c>
    </row>
    <row r="132" spans="1:24" x14ac:dyDescent="0.2">
      <c r="A132" s="9" t="s">
        <v>425</v>
      </c>
      <c r="B132" s="10">
        <v>1</v>
      </c>
      <c r="C132" s="27">
        <v>4</v>
      </c>
      <c r="D132" s="21"/>
      <c r="E132" s="28">
        <v>45194</v>
      </c>
      <c r="F132" s="18" t="s">
        <v>363</v>
      </c>
      <c r="G132" s="21" t="s">
        <v>14</v>
      </c>
      <c r="H132" s="29">
        <v>0.03</v>
      </c>
      <c r="I132" s="21" t="s">
        <v>76</v>
      </c>
      <c r="J132" s="21" t="s">
        <v>7</v>
      </c>
      <c r="K132" s="21" t="s">
        <v>9</v>
      </c>
      <c r="L132" s="20">
        <f t="shared" si="13"/>
        <v>676</v>
      </c>
      <c r="M132" s="4" t="str">
        <f>IF(Table3[[#This Row],[Afrondingsdatum YB]]="N/A","-",Table3[[#This Row],[Afrondingsdatum YB]]-Table3[[#This Row],[StartDatum]])</f>
        <v>-</v>
      </c>
      <c r="N132" s="4"/>
      <c r="O132">
        <f t="shared" si="12"/>
        <v>97</v>
      </c>
      <c r="P132">
        <f t="shared" si="11"/>
        <v>110</v>
      </c>
      <c r="Q132">
        <f t="shared" si="11"/>
        <v>103</v>
      </c>
      <c r="R132">
        <f t="shared" si="11"/>
        <v>101</v>
      </c>
      <c r="S132">
        <f t="shared" si="11"/>
        <v>108</v>
      </c>
      <c r="T132">
        <f t="shared" si="11"/>
        <v>111</v>
      </c>
      <c r="U132">
        <f t="shared" si="11"/>
        <v>46</v>
      </c>
      <c r="V132">
        <f t="shared" si="9"/>
        <v>115</v>
      </c>
      <c r="W132" s="5">
        <f t="shared" si="14"/>
        <v>866</v>
      </c>
      <c r="X132" s="9" t="str">
        <f t="shared" si="15"/>
        <v>n866</v>
      </c>
    </row>
    <row r="133" spans="1:24" x14ac:dyDescent="0.2">
      <c r="A133" s="9" t="s">
        <v>425</v>
      </c>
      <c r="B133" s="10">
        <v>1</v>
      </c>
      <c r="C133" s="27">
        <v>4</v>
      </c>
      <c r="D133" s="21"/>
      <c r="E133" s="30">
        <v>45194</v>
      </c>
      <c r="F133" s="23" t="s">
        <v>362</v>
      </c>
      <c r="G133" s="26" t="s">
        <v>15</v>
      </c>
      <c r="H133" s="31">
        <v>0</v>
      </c>
      <c r="I133" s="26" t="s">
        <v>8</v>
      </c>
      <c r="J133" s="26" t="s">
        <v>7</v>
      </c>
      <c r="K133" s="26" t="s">
        <v>9</v>
      </c>
      <c r="L133" s="25">
        <f t="shared" si="13"/>
        <v>755</v>
      </c>
      <c r="M133" s="4" t="str">
        <f>IF(Table3[[#This Row],[Afrondingsdatum YB]]="N/A","-",Table3[[#This Row],[Afrondingsdatum YB]]-Table3[[#This Row],[StartDatum]])</f>
        <v>-</v>
      </c>
      <c r="N133" s="4"/>
      <c r="O133">
        <f t="shared" si="12"/>
        <v>97</v>
      </c>
      <c r="P133">
        <f t="shared" si="11"/>
        <v>115</v>
      </c>
      <c r="Q133">
        <f t="shared" si="11"/>
        <v>104</v>
      </c>
      <c r="R133">
        <f t="shared" si="11"/>
        <v>111</v>
      </c>
      <c r="S133">
        <f t="shared" si="11"/>
        <v>101</v>
      </c>
      <c r="T133">
        <f t="shared" si="11"/>
        <v>116</v>
      </c>
      <c r="U133">
        <f t="shared" si="11"/>
        <v>111</v>
      </c>
      <c r="V133">
        <f t="shared" si="9"/>
        <v>115</v>
      </c>
      <c r="W133" s="5">
        <f t="shared" si="14"/>
        <v>937</v>
      </c>
      <c r="X133" s="9" t="str">
        <f t="shared" si="15"/>
        <v>s937</v>
      </c>
    </row>
    <row r="134" spans="1:24" x14ac:dyDescent="0.2">
      <c r="A134" s="9" t="s">
        <v>425</v>
      </c>
      <c r="B134" s="10">
        <v>1</v>
      </c>
      <c r="C134" s="27">
        <v>4</v>
      </c>
      <c r="D134" s="21"/>
      <c r="E134" s="28">
        <v>45194</v>
      </c>
      <c r="F134" s="18" t="s">
        <v>364</v>
      </c>
      <c r="G134" s="21" t="s">
        <v>16</v>
      </c>
      <c r="H134" s="29">
        <v>0.02</v>
      </c>
      <c r="I134" s="21" t="s">
        <v>76</v>
      </c>
      <c r="J134" s="21" t="s">
        <v>7</v>
      </c>
      <c r="K134" s="21" t="s">
        <v>9</v>
      </c>
      <c r="L134" s="20">
        <f t="shared" si="13"/>
        <v>672</v>
      </c>
      <c r="M134" s="4" t="str">
        <f>IF(Table3[[#This Row],[Afrondingsdatum YB]]="N/A","-",Table3[[#This Row],[Afrondingsdatum YB]]-Table3[[#This Row],[StartDatum]])</f>
        <v>-</v>
      </c>
      <c r="N134" s="4"/>
      <c r="O134">
        <f t="shared" si="12"/>
        <v>97</v>
      </c>
      <c r="P134">
        <f t="shared" si="11"/>
        <v>121</v>
      </c>
      <c r="Q134">
        <f t="shared" si="11"/>
        <v>100</v>
      </c>
      <c r="R134">
        <f t="shared" si="11"/>
        <v>101</v>
      </c>
      <c r="S134">
        <f t="shared" si="11"/>
        <v>110</v>
      </c>
      <c r="T134">
        <f t="shared" si="11"/>
        <v>46</v>
      </c>
      <c r="U134">
        <f t="shared" si="11"/>
        <v>97</v>
      </c>
      <c r="V134">
        <f t="shared" si="9"/>
        <v>110</v>
      </c>
      <c r="W134" s="5">
        <f t="shared" si="14"/>
        <v>846</v>
      </c>
      <c r="X134" s="9" t="str">
        <f t="shared" si="15"/>
        <v>y846</v>
      </c>
    </row>
    <row r="135" spans="1:24" x14ac:dyDescent="0.2">
      <c r="A135" s="9" t="s">
        <v>425</v>
      </c>
      <c r="B135" s="10">
        <v>1</v>
      </c>
      <c r="C135" s="27">
        <v>4</v>
      </c>
      <c r="D135" s="21"/>
      <c r="E135" s="30">
        <v>45194</v>
      </c>
      <c r="F135" s="23" t="s">
        <v>362</v>
      </c>
      <c r="G135" s="26" t="s">
        <v>17</v>
      </c>
      <c r="H135" s="31">
        <v>0</v>
      </c>
      <c r="I135" s="26" t="s">
        <v>8</v>
      </c>
      <c r="J135" s="26" t="s">
        <v>7</v>
      </c>
      <c r="K135" s="26" t="s">
        <v>9</v>
      </c>
      <c r="L135" s="25">
        <f t="shared" si="13"/>
        <v>707</v>
      </c>
      <c r="M135" s="4" t="str">
        <f>IF(Table3[[#This Row],[Afrondingsdatum YB]]="N/A","-",Table3[[#This Row],[Afrondingsdatum YB]]-Table3[[#This Row],[StartDatum]])</f>
        <v>-</v>
      </c>
      <c r="N135" s="4"/>
      <c r="O135">
        <f t="shared" si="12"/>
        <v>98</v>
      </c>
      <c r="P135">
        <f t="shared" si="11"/>
        <v>101</v>
      </c>
      <c r="Q135">
        <f t="shared" si="11"/>
        <v>116</v>
      </c>
      <c r="R135">
        <f t="shared" si="11"/>
        <v>117</v>
      </c>
      <c r="S135">
        <f t="shared" si="11"/>
        <v>108</v>
      </c>
      <c r="T135">
        <f t="shared" si="11"/>
        <v>46</v>
      </c>
      <c r="U135">
        <f t="shared" si="11"/>
        <v>121</v>
      </c>
      <c r="V135">
        <f t="shared" si="9"/>
        <v>117</v>
      </c>
      <c r="W135" s="5">
        <f t="shared" si="14"/>
        <v>918</v>
      </c>
      <c r="X135" s="9" t="str">
        <f t="shared" si="15"/>
        <v>e918</v>
      </c>
    </row>
    <row r="136" spans="1:24" x14ac:dyDescent="0.2">
      <c r="A136" s="9" t="s">
        <v>425</v>
      </c>
      <c r="B136" s="10">
        <v>1</v>
      </c>
      <c r="C136" s="27">
        <v>4</v>
      </c>
      <c r="D136" s="21"/>
      <c r="E136" s="28">
        <v>45194</v>
      </c>
      <c r="F136" s="18" t="s">
        <v>363</v>
      </c>
      <c r="G136" s="21" t="s">
        <v>18</v>
      </c>
      <c r="H136" s="29">
        <v>7.0000000000000007E-2</v>
      </c>
      <c r="I136" s="21" t="s">
        <v>90</v>
      </c>
      <c r="J136" s="21" t="s">
        <v>7</v>
      </c>
      <c r="K136" s="21" t="s">
        <v>9</v>
      </c>
      <c r="L136" s="20">
        <f t="shared" si="13"/>
        <v>687</v>
      </c>
      <c r="M136" s="4" t="str">
        <f>IF(Table3[[#This Row],[Afrondingsdatum YB]]="N/A","-",Table3[[#This Row],[Afrondingsdatum YB]]-Table3[[#This Row],[StartDatum]])</f>
        <v>-</v>
      </c>
      <c r="N136" s="4"/>
      <c r="O136">
        <f t="shared" si="12"/>
        <v>98</v>
      </c>
      <c r="P136">
        <f t="shared" si="11"/>
        <v>114</v>
      </c>
      <c r="Q136">
        <f t="shared" si="11"/>
        <v>101</v>
      </c>
      <c r="R136">
        <f t="shared" si="11"/>
        <v>116</v>
      </c>
      <c r="S136">
        <f t="shared" si="11"/>
        <v>104</v>
      </c>
      <c r="T136">
        <f t="shared" si="11"/>
        <v>46</v>
      </c>
      <c r="U136">
        <f t="shared" si="11"/>
        <v>108</v>
      </c>
      <c r="V136">
        <f t="shared" si="9"/>
        <v>97</v>
      </c>
      <c r="W136" s="5">
        <f t="shared" si="14"/>
        <v>842</v>
      </c>
      <c r="X136" s="9" t="str">
        <f t="shared" si="15"/>
        <v>r842</v>
      </c>
    </row>
    <row r="137" spans="1:24" x14ac:dyDescent="0.2">
      <c r="A137" s="9" t="s">
        <v>425</v>
      </c>
      <c r="B137" s="10">
        <v>1</v>
      </c>
      <c r="C137" s="27">
        <v>4</v>
      </c>
      <c r="D137" s="21"/>
      <c r="E137" s="30">
        <v>45194</v>
      </c>
      <c r="F137" s="23" t="s">
        <v>364</v>
      </c>
      <c r="G137" s="26" t="s">
        <v>19</v>
      </c>
      <c r="H137" s="31">
        <v>0.12</v>
      </c>
      <c r="I137" s="26" t="s">
        <v>91</v>
      </c>
      <c r="J137" s="26" t="s">
        <v>7</v>
      </c>
      <c r="K137" s="26" t="s">
        <v>9</v>
      </c>
      <c r="L137" s="25">
        <f t="shared" si="13"/>
        <v>733</v>
      </c>
      <c r="M137" s="4" t="str">
        <f>IF(Table3[[#This Row],[Afrondingsdatum YB]]="N/A","-",Table3[[#This Row],[Afrondingsdatum YB]]-Table3[[#This Row],[StartDatum]])</f>
        <v>-</v>
      </c>
      <c r="N137" s="4"/>
      <c r="O137">
        <f t="shared" si="12"/>
        <v>99</v>
      </c>
      <c r="P137">
        <f t="shared" si="11"/>
        <v>104</v>
      </c>
      <c r="Q137">
        <f t="shared" si="11"/>
        <v>97</v>
      </c>
      <c r="R137">
        <f t="shared" si="11"/>
        <v>114</v>
      </c>
      <c r="S137">
        <f t="shared" si="11"/>
        <v>108</v>
      </c>
      <c r="T137">
        <f t="shared" si="11"/>
        <v>101</v>
      </c>
      <c r="U137">
        <f t="shared" si="11"/>
        <v>110</v>
      </c>
      <c r="V137">
        <f t="shared" si="9"/>
        <v>101</v>
      </c>
      <c r="W137" s="5">
        <f t="shared" si="14"/>
        <v>891</v>
      </c>
      <c r="X137" s="9" t="str">
        <f t="shared" si="15"/>
        <v>h891</v>
      </c>
    </row>
    <row r="138" spans="1:24" x14ac:dyDescent="0.2">
      <c r="A138" s="9" t="s">
        <v>425</v>
      </c>
      <c r="B138" s="10">
        <v>1</v>
      </c>
      <c r="C138" s="27">
        <v>4</v>
      </c>
      <c r="D138" s="21"/>
      <c r="E138" s="28">
        <v>45194</v>
      </c>
      <c r="F138" s="18" t="s">
        <v>364</v>
      </c>
      <c r="G138" s="21" t="s">
        <v>20</v>
      </c>
      <c r="H138" s="29">
        <v>0.13</v>
      </c>
      <c r="I138" s="21" t="s">
        <v>92</v>
      </c>
      <c r="J138" s="21" t="s">
        <v>7</v>
      </c>
      <c r="K138" s="21" t="s">
        <v>9</v>
      </c>
      <c r="L138" s="20">
        <f t="shared" si="13"/>
        <v>668</v>
      </c>
      <c r="M138" s="4" t="str">
        <f>IF(Table3[[#This Row],[Afrondingsdatum YB]]="N/A","-",Table3[[#This Row],[Afrondingsdatum YB]]-Table3[[#This Row],[StartDatum]])</f>
        <v>-</v>
      </c>
      <c r="N138" s="4"/>
      <c r="O138">
        <f t="shared" si="12"/>
        <v>99</v>
      </c>
      <c r="P138">
        <f t="shared" si="11"/>
        <v>104</v>
      </c>
      <c r="Q138">
        <f t="shared" si="11"/>
        <v>101</v>
      </c>
      <c r="R138">
        <f t="shared" si="11"/>
        <v>110</v>
      </c>
      <c r="S138">
        <f t="shared" si="11"/>
        <v>111</v>
      </c>
      <c r="T138">
        <f t="shared" si="11"/>
        <v>97</v>
      </c>
      <c r="U138">
        <f t="shared" si="11"/>
        <v>46</v>
      </c>
      <c r="V138">
        <f t="shared" si="9"/>
        <v>118</v>
      </c>
      <c r="W138" s="5">
        <f t="shared" si="14"/>
        <v>854</v>
      </c>
      <c r="X138" s="9" t="str">
        <f t="shared" si="15"/>
        <v>h854</v>
      </c>
    </row>
    <row r="139" spans="1:24" x14ac:dyDescent="0.2">
      <c r="A139" s="9" t="s">
        <v>425</v>
      </c>
      <c r="B139" s="10">
        <v>1</v>
      </c>
      <c r="C139" s="27">
        <v>4</v>
      </c>
      <c r="D139" s="21"/>
      <c r="E139" s="30">
        <v>45194</v>
      </c>
      <c r="F139" s="23" t="s">
        <v>364</v>
      </c>
      <c r="G139" s="26" t="s">
        <v>21</v>
      </c>
      <c r="H139" s="31">
        <v>0.2</v>
      </c>
      <c r="I139" s="26" t="s">
        <v>93</v>
      </c>
      <c r="J139" s="26" t="s">
        <v>7</v>
      </c>
      <c r="K139" s="26" t="s">
        <v>9</v>
      </c>
      <c r="L139" s="25">
        <f t="shared" si="13"/>
        <v>681</v>
      </c>
      <c r="M139" s="4" t="str">
        <f>IF(Table3[[#This Row],[Afrondingsdatum YB]]="N/A","-",Table3[[#This Row],[Afrondingsdatum YB]]-Table3[[#This Row],[StartDatum]])</f>
        <v>-</v>
      </c>
      <c r="N139" s="4"/>
      <c r="O139">
        <f t="shared" si="12"/>
        <v>100</v>
      </c>
      <c r="P139">
        <f t="shared" si="11"/>
        <v>97</v>
      </c>
      <c r="Q139">
        <f t="shared" si="11"/>
        <v>115</v>
      </c>
      <c r="R139">
        <f t="shared" si="11"/>
        <v>116</v>
      </c>
      <c r="S139">
        <f t="shared" si="11"/>
        <v>97</v>
      </c>
      <c r="T139">
        <f t="shared" si="11"/>
        <v>110</v>
      </c>
      <c r="U139">
        <f t="shared" si="11"/>
        <v>46</v>
      </c>
      <c r="V139">
        <f t="shared" si="9"/>
        <v>109</v>
      </c>
      <c r="W139" s="5">
        <f t="shared" si="14"/>
        <v>885</v>
      </c>
      <c r="X139" s="9" t="str">
        <f t="shared" si="15"/>
        <v>a885</v>
      </c>
    </row>
    <row r="140" spans="1:24" x14ac:dyDescent="0.2">
      <c r="A140" s="9" t="s">
        <v>425</v>
      </c>
      <c r="B140" s="10">
        <v>1</v>
      </c>
      <c r="C140" s="27">
        <v>4</v>
      </c>
      <c r="D140" s="21"/>
      <c r="E140" s="28">
        <v>45194</v>
      </c>
      <c r="F140" s="18" t="s">
        <v>363</v>
      </c>
      <c r="G140" s="21" t="s">
        <v>22</v>
      </c>
      <c r="H140" s="29">
        <v>0.15</v>
      </c>
      <c r="I140" s="21" t="s">
        <v>94</v>
      </c>
      <c r="J140" s="21" t="s">
        <v>7</v>
      </c>
      <c r="K140" s="21" t="s">
        <v>9</v>
      </c>
      <c r="L140" s="20">
        <f t="shared" si="13"/>
        <v>676</v>
      </c>
      <c r="M140" s="4" t="str">
        <f>IF(Table3[[#This Row],[Afrondingsdatum YB]]="N/A","-",Table3[[#This Row],[Afrondingsdatum YB]]-Table3[[#This Row],[StartDatum]])</f>
        <v>-</v>
      </c>
      <c r="N140" s="4"/>
      <c r="O140">
        <f t="shared" si="12"/>
        <v>100</v>
      </c>
      <c r="P140">
        <f t="shared" si="11"/>
        <v>101</v>
      </c>
      <c r="Q140">
        <f t="shared" si="11"/>
        <v>109</v>
      </c>
      <c r="R140">
        <f t="shared" si="11"/>
        <v>105</v>
      </c>
      <c r="S140">
        <f t="shared" si="11"/>
        <v>46</v>
      </c>
      <c r="T140">
        <f t="shared" si="11"/>
        <v>118</v>
      </c>
      <c r="U140">
        <f t="shared" si="11"/>
        <v>97</v>
      </c>
      <c r="V140">
        <f t="shared" si="9"/>
        <v>110</v>
      </c>
      <c r="W140" s="5">
        <f t="shared" si="14"/>
        <v>875</v>
      </c>
      <c r="X140" s="9" t="str">
        <f t="shared" si="15"/>
        <v>e875</v>
      </c>
    </row>
    <row r="141" spans="1:24" x14ac:dyDescent="0.2">
      <c r="A141" s="9" t="s">
        <v>425</v>
      </c>
      <c r="B141" s="10">
        <v>1</v>
      </c>
      <c r="C141" s="27">
        <v>4</v>
      </c>
      <c r="D141" s="21"/>
      <c r="E141" s="30">
        <v>45194</v>
      </c>
      <c r="F141" s="23" t="s">
        <v>363</v>
      </c>
      <c r="G141" s="26" t="s">
        <v>23</v>
      </c>
      <c r="H141" s="31">
        <v>0</v>
      </c>
      <c r="I141" s="26" t="s">
        <v>8</v>
      </c>
      <c r="J141" s="26" t="s">
        <v>7</v>
      </c>
      <c r="K141" s="26" t="s">
        <v>9</v>
      </c>
      <c r="L141" s="25">
        <f t="shared" si="13"/>
        <v>681</v>
      </c>
      <c r="M141" s="4" t="str">
        <f>IF(Table3[[#This Row],[Afrondingsdatum YB]]="N/A","-",Table3[[#This Row],[Afrondingsdatum YB]]-Table3[[#This Row],[StartDatum]])</f>
        <v>-</v>
      </c>
      <c r="N141" s="4"/>
      <c r="O141">
        <f t="shared" si="12"/>
        <v>101</v>
      </c>
      <c r="P141">
        <f t="shared" si="11"/>
        <v>108</v>
      </c>
      <c r="Q141">
        <f t="shared" si="11"/>
        <v>105</v>
      </c>
      <c r="R141">
        <f t="shared" si="11"/>
        <v>122</v>
      </c>
      <c r="S141">
        <f t="shared" si="11"/>
        <v>101</v>
      </c>
      <c r="T141">
        <f t="shared" si="11"/>
        <v>46</v>
      </c>
      <c r="U141">
        <f t="shared" si="11"/>
        <v>98</v>
      </c>
      <c r="V141">
        <f t="shared" si="9"/>
        <v>97</v>
      </c>
      <c r="W141" s="5">
        <f t="shared" si="14"/>
        <v>843</v>
      </c>
      <c r="X141" s="9" t="str">
        <f t="shared" si="15"/>
        <v>l843</v>
      </c>
    </row>
    <row r="142" spans="1:24" x14ac:dyDescent="0.2">
      <c r="A142" s="9" t="s">
        <v>425</v>
      </c>
      <c r="B142" s="10">
        <v>1</v>
      </c>
      <c r="C142" s="27">
        <v>4</v>
      </c>
      <c r="D142" s="21"/>
      <c r="E142" s="28">
        <v>45194</v>
      </c>
      <c r="F142" s="18" t="s">
        <v>363</v>
      </c>
      <c r="G142" s="21" t="s">
        <v>24</v>
      </c>
      <c r="H142" s="29">
        <v>0</v>
      </c>
      <c r="I142" s="21" t="s">
        <v>8</v>
      </c>
      <c r="J142" s="21" t="s">
        <v>7</v>
      </c>
      <c r="K142" s="21" t="s">
        <v>9</v>
      </c>
      <c r="L142" s="20">
        <f t="shared" si="13"/>
        <v>705</v>
      </c>
      <c r="M142" s="4" t="str">
        <f>IF(Table3[[#This Row],[Afrondingsdatum YB]]="N/A","-",Table3[[#This Row],[Afrondingsdatum YB]]-Table3[[#This Row],[StartDatum]])</f>
        <v>-</v>
      </c>
      <c r="N142" s="4"/>
      <c r="O142">
        <f t="shared" si="12"/>
        <v>102</v>
      </c>
      <c r="P142">
        <f t="shared" si="11"/>
        <v>105</v>
      </c>
      <c r="Q142">
        <f t="shared" si="11"/>
        <v>115</v>
      </c>
      <c r="R142">
        <f t="shared" si="11"/>
        <v>116</v>
      </c>
      <c r="S142">
        <f t="shared" si="11"/>
        <v>111</v>
      </c>
      <c r="T142">
        <f t="shared" si="11"/>
        <v>110</v>
      </c>
      <c r="U142">
        <f t="shared" si="11"/>
        <v>46</v>
      </c>
      <c r="V142">
        <f t="shared" si="9"/>
        <v>99</v>
      </c>
      <c r="W142" s="5">
        <f t="shared" si="14"/>
        <v>895</v>
      </c>
      <c r="X142" s="9" t="str">
        <f t="shared" si="15"/>
        <v>i895</v>
      </c>
    </row>
    <row r="143" spans="1:24" x14ac:dyDescent="0.2">
      <c r="A143" s="9" t="s">
        <v>425</v>
      </c>
      <c r="B143" s="10">
        <v>1</v>
      </c>
      <c r="C143" s="27">
        <v>4</v>
      </c>
      <c r="D143" s="21"/>
      <c r="E143" s="30">
        <v>45194</v>
      </c>
      <c r="F143" s="23" t="s">
        <v>362</v>
      </c>
      <c r="G143" s="39" t="s">
        <v>118</v>
      </c>
      <c r="H143" s="31">
        <v>0</v>
      </c>
      <c r="I143" s="26" t="s">
        <v>8</v>
      </c>
      <c r="J143" s="26" t="s">
        <v>7</v>
      </c>
      <c r="K143" s="26" t="s">
        <v>9</v>
      </c>
      <c r="L143" s="25">
        <f t="shared" si="13"/>
        <v>756</v>
      </c>
      <c r="M143" s="4" t="str">
        <f>IF(Table3[[#This Row],[Afrondingsdatum YB]]="N/A","-",Table3[[#This Row],[Afrondingsdatum YB]]-Table3[[#This Row],[StartDatum]])</f>
        <v>-</v>
      </c>
      <c r="N143" s="4"/>
      <c r="O143">
        <f t="shared" si="12"/>
        <v>103</v>
      </c>
      <c r="P143">
        <f t="shared" si="11"/>
        <v>101</v>
      </c>
      <c r="Q143">
        <f t="shared" si="11"/>
        <v>110</v>
      </c>
      <c r="R143">
        <f t="shared" si="11"/>
        <v>116</v>
      </c>
      <c r="S143">
        <f t="shared" si="11"/>
        <v>97</v>
      </c>
      <c r="T143">
        <f t="shared" si="11"/>
        <v>108</v>
      </c>
      <c r="U143">
        <f t="shared" si="11"/>
        <v>121</v>
      </c>
      <c r="V143">
        <f t="shared" si="11"/>
        <v>46</v>
      </c>
      <c r="W143" s="5">
        <f t="shared" si="14"/>
        <v>885</v>
      </c>
      <c r="X143" s="9" t="str">
        <f t="shared" si="15"/>
        <v>e885</v>
      </c>
    </row>
    <row r="144" spans="1:24" x14ac:dyDescent="0.2">
      <c r="A144" s="9" t="s">
        <v>425</v>
      </c>
      <c r="B144" s="10">
        <v>1</v>
      </c>
      <c r="C144" s="27">
        <v>4</v>
      </c>
      <c r="D144" s="21"/>
      <c r="E144" s="28">
        <v>45194</v>
      </c>
      <c r="F144" s="18" t="s">
        <v>362</v>
      </c>
      <c r="G144" s="21" t="s">
        <v>25</v>
      </c>
      <c r="H144" s="29">
        <v>7.0000000000000007E-2</v>
      </c>
      <c r="I144" s="21" t="s">
        <v>88</v>
      </c>
      <c r="J144" s="21" t="s">
        <v>7</v>
      </c>
      <c r="K144" s="21" t="s">
        <v>9</v>
      </c>
      <c r="L144" s="20">
        <f t="shared" si="13"/>
        <v>690</v>
      </c>
      <c r="M144" s="4" t="str">
        <f>IF(Table3[[#This Row],[Afrondingsdatum YB]]="N/A","-",Table3[[#This Row],[Afrondingsdatum YB]]-Table3[[#This Row],[StartDatum]])</f>
        <v>-</v>
      </c>
      <c r="N144" s="4"/>
      <c r="O144">
        <f t="shared" si="12"/>
        <v>103</v>
      </c>
      <c r="P144">
        <f t="shared" si="11"/>
        <v>108</v>
      </c>
      <c r="Q144">
        <f t="shared" si="11"/>
        <v>105</v>
      </c>
      <c r="R144">
        <f t="shared" si="11"/>
        <v>103</v>
      </c>
      <c r="S144">
        <f t="shared" si="11"/>
        <v>111</v>
      </c>
      <c r="T144">
        <f t="shared" si="11"/>
        <v>114</v>
      </c>
      <c r="U144">
        <f t="shared" si="11"/>
        <v>46</v>
      </c>
      <c r="V144">
        <f t="shared" si="11"/>
        <v>106</v>
      </c>
      <c r="W144" s="5">
        <f t="shared" si="14"/>
        <v>875</v>
      </c>
      <c r="X144" s="9" t="str">
        <f t="shared" si="15"/>
        <v>l875</v>
      </c>
    </row>
    <row r="145" spans="1:24" x14ac:dyDescent="0.2">
      <c r="A145" s="9" t="s">
        <v>425</v>
      </c>
      <c r="B145" s="10">
        <v>1</v>
      </c>
      <c r="C145" s="27">
        <v>4</v>
      </c>
      <c r="D145" s="21"/>
      <c r="E145" s="30">
        <v>45194</v>
      </c>
      <c r="F145" s="23" t="s">
        <v>363</v>
      </c>
      <c r="G145" s="26" t="s">
        <v>26</v>
      </c>
      <c r="H145" s="31">
        <v>0.09</v>
      </c>
      <c r="I145" s="26" t="s">
        <v>95</v>
      </c>
      <c r="J145" s="26" t="s">
        <v>7</v>
      </c>
      <c r="K145" s="26" t="s">
        <v>9</v>
      </c>
      <c r="L145" s="25">
        <f t="shared" si="13"/>
        <v>690</v>
      </c>
      <c r="M145" s="4" t="str">
        <f>IF(Table3[[#This Row],[Afrondingsdatum YB]]="N/A","-",Table3[[#This Row],[Afrondingsdatum YB]]-Table3[[#This Row],[StartDatum]])</f>
        <v>-</v>
      </c>
      <c r="N145" s="4"/>
      <c r="O145">
        <f t="shared" si="12"/>
        <v>104</v>
      </c>
      <c r="P145">
        <f t="shared" si="11"/>
        <v>97</v>
      </c>
      <c r="Q145">
        <f t="shared" si="11"/>
        <v>122</v>
      </c>
      <c r="R145">
        <f t="shared" si="11"/>
        <v>101</v>
      </c>
      <c r="S145">
        <f t="shared" si="11"/>
        <v>109</v>
      </c>
      <c r="T145">
        <f t="shared" si="11"/>
        <v>46</v>
      </c>
      <c r="U145">
        <f t="shared" si="11"/>
        <v>111</v>
      </c>
      <c r="V145">
        <f t="shared" si="11"/>
        <v>110</v>
      </c>
      <c r="W145" s="5">
        <f t="shared" si="14"/>
        <v>920</v>
      </c>
      <c r="X145" s="9" t="str">
        <f t="shared" si="15"/>
        <v>a920</v>
      </c>
    </row>
    <row r="146" spans="1:24" x14ac:dyDescent="0.2">
      <c r="A146" s="9" t="s">
        <v>425</v>
      </c>
      <c r="B146" s="10">
        <v>1</v>
      </c>
      <c r="C146" s="27">
        <v>4</v>
      </c>
      <c r="D146" s="21"/>
      <c r="E146" s="28">
        <v>45194</v>
      </c>
      <c r="F146" s="18" t="s">
        <v>364</v>
      </c>
      <c r="G146" s="21" t="s">
        <v>27</v>
      </c>
      <c r="H146" s="29">
        <v>0</v>
      </c>
      <c r="I146" s="21" t="s">
        <v>8</v>
      </c>
      <c r="J146" s="21" t="s">
        <v>7</v>
      </c>
      <c r="K146" s="21" t="s">
        <v>9</v>
      </c>
      <c r="L146" s="20">
        <f t="shared" si="13"/>
        <v>734</v>
      </c>
      <c r="M146" s="4" t="str">
        <f>IF(Table3[[#This Row],[Afrondingsdatum YB]]="N/A","-",Table3[[#This Row],[Afrondingsdatum YB]]-Table3[[#This Row],[StartDatum]])</f>
        <v>-</v>
      </c>
      <c r="N146" s="4"/>
      <c r="O146">
        <f t="shared" si="12"/>
        <v>104</v>
      </c>
      <c r="P146">
        <f t="shared" si="11"/>
        <v>101</v>
      </c>
      <c r="Q146">
        <f t="shared" si="11"/>
        <v>114</v>
      </c>
      <c r="R146">
        <f t="shared" si="11"/>
        <v>109</v>
      </c>
      <c r="S146">
        <f t="shared" si="11"/>
        <v>101</v>
      </c>
      <c r="T146">
        <f t="shared" si="11"/>
        <v>108</v>
      </c>
      <c r="U146">
        <f t="shared" si="11"/>
        <v>97</v>
      </c>
      <c r="V146">
        <f t="shared" si="11"/>
        <v>46</v>
      </c>
      <c r="W146" s="5">
        <f t="shared" si="14"/>
        <v>876</v>
      </c>
      <c r="X146" s="9" t="str">
        <f t="shared" si="15"/>
        <v>e876</v>
      </c>
    </row>
    <row r="147" spans="1:24" x14ac:dyDescent="0.2">
      <c r="A147" s="9" t="s">
        <v>425</v>
      </c>
      <c r="B147" s="10">
        <v>1</v>
      </c>
      <c r="C147" s="27">
        <v>4</v>
      </c>
      <c r="D147" s="21"/>
      <c r="E147" s="30">
        <v>45194</v>
      </c>
      <c r="F147" s="23" t="s">
        <v>364</v>
      </c>
      <c r="G147" s="26" t="s">
        <v>28</v>
      </c>
      <c r="H147" s="31">
        <v>0</v>
      </c>
      <c r="I147" s="26" t="s">
        <v>8</v>
      </c>
      <c r="J147" s="26" t="s">
        <v>7</v>
      </c>
      <c r="K147" s="26" t="s">
        <v>9</v>
      </c>
      <c r="L147" s="25">
        <f t="shared" si="13"/>
        <v>665</v>
      </c>
      <c r="M147" s="4" t="str">
        <f>IF(Table3[[#This Row],[Afrondingsdatum YB]]="N/A","-",Table3[[#This Row],[Afrondingsdatum YB]]-Table3[[#This Row],[StartDatum]])</f>
        <v>-</v>
      </c>
      <c r="N147" s="4"/>
      <c r="O147">
        <f t="shared" si="12"/>
        <v>104</v>
      </c>
      <c r="P147">
        <f t="shared" si="11"/>
        <v>117</v>
      </c>
      <c r="Q147">
        <f t="shared" si="11"/>
        <v>105</v>
      </c>
      <c r="R147">
        <f t="shared" si="11"/>
        <v>98</v>
      </c>
      <c r="S147">
        <f t="shared" si="11"/>
        <v>46</v>
      </c>
      <c r="T147">
        <f t="shared" si="11"/>
        <v>98</v>
      </c>
      <c r="U147">
        <f t="shared" si="11"/>
        <v>97</v>
      </c>
      <c r="V147">
        <f t="shared" si="11"/>
        <v>107</v>
      </c>
      <c r="W147" s="5">
        <f t="shared" si="14"/>
        <v>850</v>
      </c>
      <c r="X147" s="9" t="str">
        <f t="shared" si="15"/>
        <v>u850</v>
      </c>
    </row>
    <row r="148" spans="1:24" x14ac:dyDescent="0.2">
      <c r="A148" s="9" t="s">
        <v>425</v>
      </c>
      <c r="B148" s="10">
        <v>1</v>
      </c>
      <c r="C148" s="27">
        <v>4</v>
      </c>
      <c r="D148" s="21"/>
      <c r="E148" s="28">
        <v>45194</v>
      </c>
      <c r="F148" s="18" t="s">
        <v>363</v>
      </c>
      <c r="G148" s="21" t="s">
        <v>29</v>
      </c>
      <c r="H148" s="29">
        <v>0.28000000000000003</v>
      </c>
      <c r="I148" s="21" t="s">
        <v>96</v>
      </c>
      <c r="J148" s="21" t="s">
        <v>7</v>
      </c>
      <c r="K148" s="21" t="s">
        <v>9</v>
      </c>
      <c r="L148" s="20">
        <f t="shared" si="13"/>
        <v>682</v>
      </c>
      <c r="M148" s="4" t="str">
        <f>IF(Table3[[#This Row],[Afrondingsdatum YB]]="N/A","-",Table3[[#This Row],[Afrondingsdatum YB]]-Table3[[#This Row],[StartDatum]])</f>
        <v>-</v>
      </c>
      <c r="N148" s="4"/>
      <c r="O148">
        <f t="shared" si="12"/>
        <v>105</v>
      </c>
      <c r="P148">
        <f t="shared" si="11"/>
        <v>107</v>
      </c>
      <c r="Q148">
        <f t="shared" si="11"/>
        <v>104</v>
      </c>
      <c r="R148">
        <f t="shared" si="11"/>
        <v>108</v>
      </c>
      <c r="S148">
        <f t="shared" si="11"/>
        <v>97</v>
      </c>
      <c r="T148">
        <f t="shared" si="11"/>
        <v>115</v>
      </c>
      <c r="U148">
        <f t="shared" si="11"/>
        <v>46</v>
      </c>
      <c r="V148">
        <f t="shared" si="11"/>
        <v>98</v>
      </c>
      <c r="W148" s="5">
        <f t="shared" si="14"/>
        <v>854</v>
      </c>
      <c r="X148" s="9" t="str">
        <f t="shared" si="15"/>
        <v>k854</v>
      </c>
    </row>
    <row r="149" spans="1:24" x14ac:dyDescent="0.2">
      <c r="A149" s="9" t="s">
        <v>425</v>
      </c>
      <c r="B149" s="10">
        <v>1</v>
      </c>
      <c r="C149" s="27">
        <v>4</v>
      </c>
      <c r="D149" s="21"/>
      <c r="E149" s="30">
        <v>45194</v>
      </c>
      <c r="F149" s="23" t="s">
        <v>363</v>
      </c>
      <c r="G149" s="26" t="s">
        <v>30</v>
      </c>
      <c r="H149" s="31">
        <v>0.27</v>
      </c>
      <c r="I149" s="26" t="s">
        <v>97</v>
      </c>
      <c r="J149" s="26" t="s">
        <v>7</v>
      </c>
      <c r="K149" s="26" t="s">
        <v>9</v>
      </c>
      <c r="L149" s="25">
        <f t="shared" si="13"/>
        <v>701</v>
      </c>
      <c r="M149" s="4" t="str">
        <f>IF(Table3[[#This Row],[Afrondingsdatum YB]]="N/A","-",Table3[[#This Row],[Afrondingsdatum YB]]-Table3[[#This Row],[StartDatum]])</f>
        <v>-</v>
      </c>
      <c r="N149" s="4"/>
      <c r="O149">
        <f t="shared" si="12"/>
        <v>105</v>
      </c>
      <c r="P149">
        <f t="shared" si="11"/>
        <v>108</v>
      </c>
      <c r="Q149">
        <f t="shared" si="11"/>
        <v>107</v>
      </c>
      <c r="R149">
        <f t="shared" si="11"/>
        <v>97</v>
      </c>
      <c r="S149">
        <f t="shared" si="11"/>
        <v>121</v>
      </c>
      <c r="T149">
        <f t="shared" si="11"/>
        <v>46</v>
      </c>
      <c r="U149">
        <f t="shared" si="11"/>
        <v>117</v>
      </c>
      <c r="V149">
        <f t="shared" si="11"/>
        <v>121</v>
      </c>
      <c r="W149" s="5">
        <f t="shared" si="14"/>
        <v>909</v>
      </c>
      <c r="X149" s="9" t="str">
        <f t="shared" si="15"/>
        <v>l909</v>
      </c>
    </row>
    <row r="150" spans="1:24" x14ac:dyDescent="0.2">
      <c r="A150" s="9" t="s">
        <v>425</v>
      </c>
      <c r="B150" s="10">
        <v>1</v>
      </c>
      <c r="C150" s="27">
        <v>4</v>
      </c>
      <c r="D150" s="21"/>
      <c r="E150" s="28">
        <v>45194</v>
      </c>
      <c r="F150" s="18" t="s">
        <v>364</v>
      </c>
      <c r="G150" s="21" t="s">
        <v>31</v>
      </c>
      <c r="H150" s="29">
        <v>0.04</v>
      </c>
      <c r="I150" s="21" t="s">
        <v>98</v>
      </c>
      <c r="J150" s="21" t="s">
        <v>7</v>
      </c>
      <c r="K150" s="21" t="s">
        <v>9</v>
      </c>
      <c r="L150" s="20">
        <f t="shared" si="13"/>
        <v>661</v>
      </c>
      <c r="M150" s="4" t="str">
        <f>IF(Table3[[#This Row],[Afrondingsdatum YB]]="N/A","-",Table3[[#This Row],[Afrondingsdatum YB]]-Table3[[#This Row],[StartDatum]])</f>
        <v>-</v>
      </c>
      <c r="N150" s="4"/>
      <c r="O150">
        <f t="shared" si="12"/>
        <v>106</v>
      </c>
      <c r="P150">
        <f t="shared" si="11"/>
        <v>97</v>
      </c>
      <c r="Q150">
        <f t="shared" si="11"/>
        <v>109</v>
      </c>
      <c r="R150">
        <f t="shared" si="11"/>
        <v>97</v>
      </c>
      <c r="S150">
        <f t="shared" si="11"/>
        <v>108</v>
      </c>
      <c r="T150">
        <f t="shared" si="11"/>
        <v>46</v>
      </c>
      <c r="U150">
        <f t="shared" si="11"/>
        <v>98</v>
      </c>
      <c r="V150">
        <f t="shared" si="11"/>
        <v>97</v>
      </c>
      <c r="W150" s="5">
        <f t="shared" si="14"/>
        <v>855</v>
      </c>
      <c r="X150" s="9" t="str">
        <f t="shared" si="15"/>
        <v>a855</v>
      </c>
    </row>
    <row r="151" spans="1:24" x14ac:dyDescent="0.2">
      <c r="A151" s="9" t="s">
        <v>425</v>
      </c>
      <c r="B151" s="10">
        <v>1</v>
      </c>
      <c r="C151" s="27">
        <v>4</v>
      </c>
      <c r="D151" s="21"/>
      <c r="E151" s="30">
        <v>45194</v>
      </c>
      <c r="F151" s="23" t="s">
        <v>364</v>
      </c>
      <c r="G151" s="26" t="s">
        <v>75</v>
      </c>
      <c r="H151" s="31">
        <v>0</v>
      </c>
      <c r="I151" s="26" t="s">
        <v>8</v>
      </c>
      <c r="J151" s="26" t="s">
        <v>7</v>
      </c>
      <c r="K151" s="26" t="s">
        <v>9</v>
      </c>
      <c r="L151" s="25">
        <f t="shared" si="13"/>
        <v>698</v>
      </c>
      <c r="M151" s="4" t="str">
        <f>IF(Table3[[#This Row],[Afrondingsdatum YB]]="N/A","-",Table3[[#This Row],[Afrondingsdatum YB]]-Table3[[#This Row],[StartDatum]])</f>
        <v>-</v>
      </c>
      <c r="N151" s="4"/>
      <c r="O151">
        <f t="shared" si="12"/>
        <v>74</v>
      </c>
      <c r="P151">
        <f t="shared" si="11"/>
        <v>97</v>
      </c>
      <c r="Q151">
        <f t="shared" si="11"/>
        <v>109</v>
      </c>
      <c r="R151">
        <f t="shared" si="11"/>
        <v>105</v>
      </c>
      <c r="S151">
        <f t="shared" si="11"/>
        <v>108</v>
      </c>
      <c r="T151">
        <f t="shared" si="11"/>
        <v>108</v>
      </c>
      <c r="U151">
        <f t="shared" si="11"/>
        <v>97</v>
      </c>
      <c r="V151">
        <f t="shared" si="11"/>
        <v>98</v>
      </c>
      <c r="W151" s="5">
        <f t="shared" si="14"/>
        <v>887</v>
      </c>
      <c r="X151" s="9" t="str">
        <f t="shared" si="15"/>
        <v>a887</v>
      </c>
    </row>
    <row r="152" spans="1:24" x14ac:dyDescent="0.2">
      <c r="A152" s="9" t="s">
        <v>425</v>
      </c>
      <c r="B152" s="10">
        <v>1</v>
      </c>
      <c r="C152" s="27">
        <v>4</v>
      </c>
      <c r="D152" s="21"/>
      <c r="E152" s="28">
        <v>45194</v>
      </c>
      <c r="F152" s="18" t="s">
        <v>363</v>
      </c>
      <c r="G152" s="21" t="s">
        <v>32</v>
      </c>
      <c r="H152" s="29">
        <v>0.1</v>
      </c>
      <c r="I152" s="21" t="s">
        <v>99</v>
      </c>
      <c r="J152" s="21" t="s">
        <v>7</v>
      </c>
      <c r="K152" s="21" t="s">
        <v>9</v>
      </c>
      <c r="L152" s="20">
        <f t="shared" si="13"/>
        <v>698</v>
      </c>
      <c r="M152" s="4" t="str">
        <f>IF(Table3[[#This Row],[Afrondingsdatum YB]]="N/A","-",Table3[[#This Row],[Afrondingsdatum YB]]-Table3[[#This Row],[StartDatum]])</f>
        <v>-</v>
      </c>
      <c r="N152" s="4"/>
      <c r="O152">
        <f t="shared" si="12"/>
        <v>106</v>
      </c>
      <c r="P152">
        <f t="shared" si="11"/>
        <v>97</v>
      </c>
      <c r="Q152">
        <f t="shared" si="11"/>
        <v>114</v>
      </c>
      <c r="R152">
        <f t="shared" si="11"/>
        <v>114</v>
      </c>
      <c r="S152">
        <f t="shared" si="11"/>
        <v>111</v>
      </c>
      <c r="T152">
        <f t="shared" si="11"/>
        <v>110</v>
      </c>
      <c r="U152">
        <f t="shared" si="11"/>
        <v>46</v>
      </c>
      <c r="V152">
        <f t="shared" si="11"/>
        <v>118</v>
      </c>
      <c r="W152" s="5">
        <f t="shared" si="14"/>
        <v>910</v>
      </c>
      <c r="X152" s="9" t="str">
        <f t="shared" si="15"/>
        <v>a910</v>
      </c>
    </row>
    <row r="153" spans="1:24" x14ac:dyDescent="0.2">
      <c r="A153" s="9" t="s">
        <v>425</v>
      </c>
      <c r="B153" s="10">
        <v>1</v>
      </c>
      <c r="C153" s="27">
        <v>4</v>
      </c>
      <c r="D153" s="21"/>
      <c r="E153" s="30">
        <v>45194</v>
      </c>
      <c r="F153" s="23" t="s">
        <v>362</v>
      </c>
      <c r="G153" s="26" t="s">
        <v>33</v>
      </c>
      <c r="H153" s="31">
        <v>0.04</v>
      </c>
      <c r="I153" s="26" t="s">
        <v>78</v>
      </c>
      <c r="J153" s="26" t="s">
        <v>7</v>
      </c>
      <c r="K153" s="26" t="s">
        <v>9</v>
      </c>
      <c r="L153" s="25">
        <f t="shared" si="13"/>
        <v>707</v>
      </c>
      <c r="M153" s="4" t="str">
        <f>IF(Table3[[#This Row],[Afrondingsdatum YB]]="N/A","-",Table3[[#This Row],[Afrondingsdatum YB]]-Table3[[#This Row],[StartDatum]])</f>
        <v>-</v>
      </c>
      <c r="N153" s="4"/>
      <c r="O153">
        <f t="shared" si="12"/>
        <v>106</v>
      </c>
      <c r="P153">
        <f t="shared" si="11"/>
        <v>101</v>
      </c>
      <c r="Q153">
        <f t="shared" si="11"/>
        <v>118</v>
      </c>
      <c r="R153">
        <f t="shared" si="11"/>
        <v>111</v>
      </c>
      <c r="S153">
        <f t="shared" si="11"/>
        <v>110</v>
      </c>
      <c r="T153">
        <f t="shared" si="11"/>
        <v>46</v>
      </c>
      <c r="U153">
        <f t="shared" si="11"/>
        <v>115</v>
      </c>
      <c r="V153">
        <f t="shared" si="11"/>
        <v>109</v>
      </c>
      <c r="W153" s="5">
        <f t="shared" si="14"/>
        <v>918</v>
      </c>
      <c r="X153" s="9" t="str">
        <f t="shared" si="15"/>
        <v>e918</v>
      </c>
    </row>
    <row r="154" spans="1:24" x14ac:dyDescent="0.2">
      <c r="A154" s="9" t="s">
        <v>425</v>
      </c>
      <c r="B154" s="10">
        <v>1</v>
      </c>
      <c r="C154" s="27">
        <v>4</v>
      </c>
      <c r="D154" s="21"/>
      <c r="E154" s="28">
        <v>45194</v>
      </c>
      <c r="F154" s="18" t="s">
        <v>362</v>
      </c>
      <c r="G154" s="21" t="s">
        <v>34</v>
      </c>
      <c r="H154" s="29">
        <v>0</v>
      </c>
      <c r="I154" s="21" t="s">
        <v>8</v>
      </c>
      <c r="J154" s="21" t="s">
        <v>7</v>
      </c>
      <c r="K154" s="21" t="s">
        <v>9</v>
      </c>
      <c r="L154" s="20">
        <f t="shared" si="13"/>
        <v>676</v>
      </c>
      <c r="M154" s="4" t="str">
        <f>IF(Table3[[#This Row],[Afrondingsdatum YB]]="N/A","-",Table3[[#This Row],[Afrondingsdatum YB]]-Table3[[#This Row],[StartDatum]])</f>
        <v>-</v>
      </c>
      <c r="N154" s="4"/>
      <c r="O154">
        <f t="shared" si="12"/>
        <v>106</v>
      </c>
      <c r="P154">
        <f t="shared" si="11"/>
        <v>111</v>
      </c>
      <c r="Q154">
        <f t="shared" si="11"/>
        <v>99</v>
      </c>
      <c r="R154">
        <f t="shared" si="11"/>
        <v>104</v>
      </c>
      <c r="S154">
        <f t="shared" si="11"/>
        <v>101</v>
      </c>
      <c r="T154">
        <f t="shared" si="11"/>
        <v>109</v>
      </c>
      <c r="U154">
        <f t="shared" si="11"/>
        <v>46</v>
      </c>
      <c r="V154">
        <f t="shared" si="11"/>
        <v>104</v>
      </c>
      <c r="W154" s="5">
        <f t="shared" si="14"/>
        <v>845</v>
      </c>
      <c r="X154" s="9" t="str">
        <f t="shared" si="15"/>
        <v>o845</v>
      </c>
    </row>
    <row r="155" spans="1:24" x14ac:dyDescent="0.2">
      <c r="A155" s="9" t="s">
        <v>425</v>
      </c>
      <c r="B155" s="10">
        <v>1</v>
      </c>
      <c r="C155" s="27">
        <v>4</v>
      </c>
      <c r="D155" s="21"/>
      <c r="E155" s="30">
        <v>45194</v>
      </c>
      <c r="F155" s="23" t="s">
        <v>362</v>
      </c>
      <c r="G155" s="26" t="s">
        <v>35</v>
      </c>
      <c r="H155" s="31">
        <v>0</v>
      </c>
      <c r="I155" s="26" t="s">
        <v>8</v>
      </c>
      <c r="J155" s="26" t="s">
        <v>7</v>
      </c>
      <c r="K155" s="26" t="s">
        <v>9</v>
      </c>
      <c r="L155" s="25">
        <f t="shared" si="13"/>
        <v>704</v>
      </c>
      <c r="M155" s="4" t="str">
        <f>IF(Table3[[#This Row],[Afrondingsdatum YB]]="N/A","-",Table3[[#This Row],[Afrondingsdatum YB]]-Table3[[#This Row],[StartDatum]])</f>
        <v>-</v>
      </c>
      <c r="N155" s="4"/>
      <c r="O155">
        <f t="shared" si="12"/>
        <v>106</v>
      </c>
      <c r="P155">
        <f t="shared" si="11"/>
        <v>111</v>
      </c>
      <c r="Q155">
        <f t="shared" si="11"/>
        <v>114</v>
      </c>
      <c r="R155">
        <f t="shared" si="11"/>
        <v>105</v>
      </c>
      <c r="S155">
        <f t="shared" si="11"/>
        <v>115</v>
      </c>
      <c r="T155">
        <f t="shared" si="11"/>
        <v>46</v>
      </c>
      <c r="U155">
        <f t="shared" si="11"/>
        <v>107</v>
      </c>
      <c r="V155">
        <f t="shared" si="11"/>
        <v>111</v>
      </c>
      <c r="W155" s="5">
        <f t="shared" si="14"/>
        <v>909</v>
      </c>
      <c r="X155" s="9" t="str">
        <f t="shared" si="15"/>
        <v>o909</v>
      </c>
    </row>
    <row r="156" spans="1:24" x14ac:dyDescent="0.2">
      <c r="A156" s="9" t="s">
        <v>425</v>
      </c>
      <c r="B156" s="10">
        <v>1</v>
      </c>
      <c r="C156" s="27">
        <v>4</v>
      </c>
      <c r="D156" s="21"/>
      <c r="E156" s="28">
        <v>45194</v>
      </c>
      <c r="F156" s="18" t="s">
        <v>364</v>
      </c>
      <c r="G156" s="21" t="s">
        <v>36</v>
      </c>
      <c r="H156" s="29">
        <v>0</v>
      </c>
      <c r="I156" s="21" t="s">
        <v>8</v>
      </c>
      <c r="J156" s="21" t="s">
        <v>7</v>
      </c>
      <c r="K156" s="21" t="s">
        <v>9</v>
      </c>
      <c r="L156" s="20">
        <f t="shared" si="13"/>
        <v>657</v>
      </c>
      <c r="M156" s="4" t="str">
        <f>IF(Table3[[#This Row],[Afrondingsdatum YB]]="N/A","-",Table3[[#This Row],[Afrondingsdatum YB]]-Table3[[#This Row],[StartDatum]])</f>
        <v>-</v>
      </c>
      <c r="N156" s="4"/>
      <c r="O156">
        <f t="shared" si="12"/>
        <v>74</v>
      </c>
      <c r="P156">
        <f t="shared" si="11"/>
        <v>117</v>
      </c>
      <c r="Q156">
        <f t="shared" si="11"/>
        <v>108</v>
      </c>
      <c r="R156">
        <f t="shared" si="11"/>
        <v>105</v>
      </c>
      <c r="S156">
        <f t="shared" si="11"/>
        <v>97</v>
      </c>
      <c r="T156">
        <f t="shared" ref="P156:V192" si="16">CODE(MID($G156,T$1,1))</f>
        <v>110</v>
      </c>
      <c r="U156">
        <f t="shared" si="16"/>
        <v>46</v>
      </c>
      <c r="V156">
        <f t="shared" si="16"/>
        <v>68</v>
      </c>
      <c r="W156" s="5">
        <f t="shared" si="14"/>
        <v>804</v>
      </c>
      <c r="X156" s="9" t="str">
        <f t="shared" si="15"/>
        <v>u804</v>
      </c>
    </row>
    <row r="157" spans="1:24" x14ac:dyDescent="0.2">
      <c r="A157" s="9" t="s">
        <v>425</v>
      </c>
      <c r="B157" s="10">
        <v>1</v>
      </c>
      <c r="C157" s="27">
        <v>4</v>
      </c>
      <c r="D157" s="21"/>
      <c r="E157" s="30">
        <v>45194</v>
      </c>
      <c r="F157" s="23" t="s">
        <v>363</v>
      </c>
      <c r="G157" s="26" t="s">
        <v>37</v>
      </c>
      <c r="H157" s="31">
        <v>0</v>
      </c>
      <c r="I157" s="26" t="s">
        <v>8</v>
      </c>
      <c r="J157" s="26" t="s">
        <v>7</v>
      </c>
      <c r="K157" s="26" t="s">
        <v>9</v>
      </c>
      <c r="L157" s="25">
        <f t="shared" si="13"/>
        <v>689</v>
      </c>
      <c r="M157" s="4" t="str">
        <f>IF(Table3[[#This Row],[Afrondingsdatum YB]]="N/A","-",Table3[[#This Row],[Afrondingsdatum YB]]-Table3[[#This Row],[StartDatum]])</f>
        <v>-</v>
      </c>
      <c r="N157" s="4"/>
      <c r="O157">
        <f t="shared" si="12"/>
        <v>106</v>
      </c>
      <c r="P157">
        <f t="shared" si="16"/>
        <v>117</v>
      </c>
      <c r="Q157">
        <f t="shared" si="16"/>
        <v>108</v>
      </c>
      <c r="R157">
        <f t="shared" si="16"/>
        <v>105</v>
      </c>
      <c r="S157">
        <f t="shared" si="16"/>
        <v>97</v>
      </c>
      <c r="T157">
        <f t="shared" si="16"/>
        <v>110</v>
      </c>
      <c r="U157">
        <f t="shared" si="16"/>
        <v>46</v>
      </c>
      <c r="V157">
        <f t="shared" si="16"/>
        <v>118</v>
      </c>
      <c r="W157" s="5">
        <f t="shared" si="14"/>
        <v>886</v>
      </c>
      <c r="X157" s="9" t="str">
        <f t="shared" si="15"/>
        <v>u886</v>
      </c>
    </row>
    <row r="158" spans="1:24" x14ac:dyDescent="0.2">
      <c r="A158" s="9" t="s">
        <v>425</v>
      </c>
      <c r="B158" s="10">
        <v>1</v>
      </c>
      <c r="C158" s="27">
        <v>4</v>
      </c>
      <c r="D158" s="21"/>
      <c r="E158" s="28">
        <v>45194</v>
      </c>
      <c r="F158" s="18" t="s">
        <v>363</v>
      </c>
      <c r="G158" s="21" t="s">
        <v>38</v>
      </c>
      <c r="H158" s="29">
        <v>0</v>
      </c>
      <c r="I158" s="21" t="s">
        <v>8</v>
      </c>
      <c r="J158" s="21" t="s">
        <v>7</v>
      </c>
      <c r="K158" s="21" t="s">
        <v>9</v>
      </c>
      <c r="L158" s="20">
        <f t="shared" si="13"/>
        <v>671</v>
      </c>
      <c r="M158" s="4" t="str">
        <f>IF(Table3[[#This Row],[Afrondingsdatum YB]]="N/A","-",Table3[[#This Row],[Afrondingsdatum YB]]-Table3[[#This Row],[StartDatum]])</f>
        <v>-</v>
      </c>
      <c r="N158" s="4"/>
      <c r="O158">
        <f t="shared" si="12"/>
        <v>107</v>
      </c>
      <c r="P158">
        <f t="shared" si="16"/>
        <v>97</v>
      </c>
      <c r="Q158">
        <f t="shared" si="16"/>
        <v>105</v>
      </c>
      <c r="R158">
        <f t="shared" si="16"/>
        <v>46</v>
      </c>
      <c r="S158">
        <f t="shared" si="16"/>
        <v>104</v>
      </c>
      <c r="T158">
        <f t="shared" si="16"/>
        <v>97</v>
      </c>
      <c r="U158">
        <f t="shared" si="16"/>
        <v>115</v>
      </c>
      <c r="V158">
        <f t="shared" si="16"/>
        <v>115</v>
      </c>
      <c r="W158" s="5">
        <f t="shared" si="14"/>
        <v>913</v>
      </c>
      <c r="X158" s="9" t="str">
        <f t="shared" si="15"/>
        <v>a913</v>
      </c>
    </row>
    <row r="159" spans="1:24" x14ac:dyDescent="0.2">
      <c r="A159" s="9" t="s">
        <v>425</v>
      </c>
      <c r="B159" s="10">
        <v>1</v>
      </c>
      <c r="C159" s="27">
        <v>4</v>
      </c>
      <c r="D159" s="21"/>
      <c r="E159" s="30">
        <v>45194</v>
      </c>
      <c r="F159" s="23" t="s">
        <v>362</v>
      </c>
      <c r="G159" s="26" t="s">
        <v>39</v>
      </c>
      <c r="H159" s="31">
        <v>0</v>
      </c>
      <c r="I159" s="26" t="s">
        <v>8</v>
      </c>
      <c r="J159" s="26" t="s">
        <v>7</v>
      </c>
      <c r="K159" s="26" t="s">
        <v>9</v>
      </c>
      <c r="L159" s="25">
        <f t="shared" si="13"/>
        <v>673</v>
      </c>
      <c r="M159" s="4" t="str">
        <f>IF(Table3[[#This Row],[Afrondingsdatum YB]]="N/A","-",Table3[[#This Row],[Afrondingsdatum YB]]-Table3[[#This Row],[StartDatum]])</f>
        <v>-</v>
      </c>
      <c r="N159" s="4"/>
      <c r="O159">
        <f t="shared" si="12"/>
        <v>107</v>
      </c>
      <c r="P159">
        <f t="shared" si="16"/>
        <v>101</v>
      </c>
      <c r="Q159">
        <f t="shared" si="16"/>
        <v>110</v>
      </c>
      <c r="R159">
        <f t="shared" si="16"/>
        <v>97</v>
      </c>
      <c r="S159">
        <f t="shared" si="16"/>
        <v>110</v>
      </c>
      <c r="T159">
        <f t="shared" si="16"/>
        <v>46</v>
      </c>
      <c r="U159">
        <f t="shared" si="16"/>
        <v>102</v>
      </c>
      <c r="V159">
        <f t="shared" si="16"/>
        <v>108</v>
      </c>
      <c r="W159" s="5">
        <f t="shared" si="14"/>
        <v>878</v>
      </c>
      <c r="X159" s="9" t="str">
        <f t="shared" si="15"/>
        <v>e878</v>
      </c>
    </row>
    <row r="160" spans="1:24" x14ac:dyDescent="0.2">
      <c r="A160" s="9" t="s">
        <v>425</v>
      </c>
      <c r="B160" s="10">
        <v>1</v>
      </c>
      <c r="C160" s="27">
        <v>4</v>
      </c>
      <c r="D160" s="21"/>
      <c r="E160" s="28">
        <v>45194</v>
      </c>
      <c r="F160" s="18" t="s">
        <v>363</v>
      </c>
      <c r="G160" s="21" t="s">
        <v>40</v>
      </c>
      <c r="H160" s="29">
        <v>0</v>
      </c>
      <c r="I160" s="21" t="s">
        <v>8</v>
      </c>
      <c r="J160" s="21" t="s">
        <v>7</v>
      </c>
      <c r="K160" s="21" t="s">
        <v>9</v>
      </c>
      <c r="L160" s="20">
        <f t="shared" si="13"/>
        <v>685</v>
      </c>
      <c r="M160" s="4" t="str">
        <f>IF(Table3[[#This Row],[Afrondingsdatum YB]]="N/A","-",Table3[[#This Row],[Afrondingsdatum YB]]-Table3[[#This Row],[StartDatum]])</f>
        <v>-</v>
      </c>
      <c r="N160" s="4"/>
      <c r="O160">
        <f t="shared" si="12"/>
        <v>107</v>
      </c>
      <c r="P160">
        <f t="shared" si="16"/>
        <v>101</v>
      </c>
      <c r="Q160">
        <f t="shared" si="16"/>
        <v>118</v>
      </c>
      <c r="R160">
        <f t="shared" si="16"/>
        <v>105</v>
      </c>
      <c r="S160">
        <f t="shared" si="16"/>
        <v>110</v>
      </c>
      <c r="T160">
        <f t="shared" si="16"/>
        <v>46</v>
      </c>
      <c r="U160">
        <f t="shared" si="16"/>
        <v>98</v>
      </c>
      <c r="V160">
        <f t="shared" si="16"/>
        <v>97</v>
      </c>
      <c r="W160" s="5">
        <f t="shared" si="14"/>
        <v>889</v>
      </c>
      <c r="X160" s="9" t="str">
        <f t="shared" si="15"/>
        <v>e889</v>
      </c>
    </row>
    <row r="161" spans="1:24" x14ac:dyDescent="0.2">
      <c r="A161" s="9" t="s">
        <v>425</v>
      </c>
      <c r="B161" s="10">
        <v>1</v>
      </c>
      <c r="C161" s="27">
        <v>4</v>
      </c>
      <c r="D161" s="21"/>
      <c r="E161" s="30">
        <v>45194</v>
      </c>
      <c r="F161" s="23" t="s">
        <v>363</v>
      </c>
      <c r="G161" s="26" t="s">
        <v>41</v>
      </c>
      <c r="H161" s="31">
        <v>0</v>
      </c>
      <c r="I161" s="26" t="s">
        <v>8</v>
      </c>
      <c r="J161" s="26" t="s">
        <v>7</v>
      </c>
      <c r="K161" s="26" t="s">
        <v>9</v>
      </c>
      <c r="L161" s="25">
        <f t="shared" si="13"/>
        <v>694</v>
      </c>
      <c r="M161" s="4" t="str">
        <f>IF(Table3[[#This Row],[Afrondingsdatum YB]]="N/A","-",Table3[[#This Row],[Afrondingsdatum YB]]-Table3[[#This Row],[StartDatum]])</f>
        <v>-</v>
      </c>
      <c r="N161" s="4"/>
      <c r="O161">
        <f t="shared" si="12"/>
        <v>107</v>
      </c>
      <c r="P161">
        <f t="shared" si="16"/>
        <v>106</v>
      </c>
      <c r="Q161">
        <f t="shared" si="16"/>
        <v>101</v>
      </c>
      <c r="R161">
        <f t="shared" si="16"/>
        <v>108</v>
      </c>
      <c r="S161">
        <f t="shared" si="16"/>
        <v>108</v>
      </c>
      <c r="T161">
        <f t="shared" si="16"/>
        <v>46</v>
      </c>
      <c r="U161">
        <f t="shared" si="16"/>
        <v>118</v>
      </c>
      <c r="V161">
        <f t="shared" si="16"/>
        <v>97</v>
      </c>
      <c r="W161" s="5">
        <f t="shared" si="14"/>
        <v>859</v>
      </c>
      <c r="X161" s="9" t="str">
        <f t="shared" si="15"/>
        <v>j859</v>
      </c>
    </row>
    <row r="162" spans="1:24" x14ac:dyDescent="0.2">
      <c r="A162" s="9" t="s">
        <v>425</v>
      </c>
      <c r="B162" s="10">
        <v>1</v>
      </c>
      <c r="C162" s="27">
        <v>4</v>
      </c>
      <c r="D162" s="21"/>
      <c r="E162" s="28">
        <v>45194</v>
      </c>
      <c r="F162" s="18" t="s">
        <v>362</v>
      </c>
      <c r="G162" s="21" t="s">
        <v>79</v>
      </c>
      <c r="H162" s="29">
        <v>0</v>
      </c>
      <c r="I162" s="21" t="s">
        <v>8</v>
      </c>
      <c r="J162" s="21" t="s">
        <v>7</v>
      </c>
      <c r="K162" s="21" t="s">
        <v>9</v>
      </c>
      <c r="L162" s="20">
        <f t="shared" si="13"/>
        <v>679</v>
      </c>
      <c r="M162" s="4" t="str">
        <f>IF(Table3[[#This Row],[Afrondingsdatum YB]]="N/A","-",Table3[[#This Row],[Afrondingsdatum YB]]-Table3[[#This Row],[StartDatum]])</f>
        <v>-</v>
      </c>
      <c r="N162" s="4"/>
      <c r="O162">
        <f t="shared" si="12"/>
        <v>108</v>
      </c>
      <c r="P162">
        <f t="shared" si="16"/>
        <v>97</v>
      </c>
      <c r="Q162">
        <f t="shared" si="16"/>
        <v>109</v>
      </c>
      <c r="R162">
        <f t="shared" si="16"/>
        <v>121</v>
      </c>
      <c r="S162">
        <f t="shared" si="16"/>
        <v>97</v>
      </c>
      <c r="T162">
        <f t="shared" si="16"/>
        <v>101</v>
      </c>
      <c r="U162">
        <f t="shared" si="16"/>
        <v>46</v>
      </c>
      <c r="V162">
        <f t="shared" si="16"/>
        <v>101</v>
      </c>
      <c r="W162" s="5">
        <f t="shared" si="14"/>
        <v>859</v>
      </c>
      <c r="X162" s="9" t="str">
        <f t="shared" si="15"/>
        <v>a859</v>
      </c>
    </row>
    <row r="163" spans="1:24" x14ac:dyDescent="0.2">
      <c r="A163" s="9" t="s">
        <v>425</v>
      </c>
      <c r="B163" s="10">
        <v>1</v>
      </c>
      <c r="C163" s="27">
        <v>4</v>
      </c>
      <c r="D163" s="21"/>
      <c r="E163" s="30">
        <v>45194</v>
      </c>
      <c r="F163" s="23" t="s">
        <v>363</v>
      </c>
      <c r="G163" s="26" t="s">
        <v>42</v>
      </c>
      <c r="H163" s="31">
        <v>0</v>
      </c>
      <c r="I163" s="26" t="s">
        <v>8</v>
      </c>
      <c r="J163" s="26" t="s">
        <v>7</v>
      </c>
      <c r="K163" s="26" t="s">
        <v>9</v>
      </c>
      <c r="L163" s="25">
        <f t="shared" si="13"/>
        <v>687</v>
      </c>
      <c r="M163" s="4" t="str">
        <f>IF(Table3[[#This Row],[Afrondingsdatum YB]]="N/A","-",Table3[[#This Row],[Afrondingsdatum YB]]-Table3[[#This Row],[StartDatum]])</f>
        <v>-</v>
      </c>
      <c r="N163" s="4"/>
      <c r="O163">
        <f t="shared" si="12"/>
        <v>108</v>
      </c>
      <c r="P163">
        <f t="shared" si="16"/>
        <v>105</v>
      </c>
      <c r="Q163">
        <f t="shared" si="16"/>
        <v>110</v>
      </c>
      <c r="R163">
        <f t="shared" si="16"/>
        <v>100</v>
      </c>
      <c r="S163">
        <f t="shared" si="16"/>
        <v>121</v>
      </c>
      <c r="T163">
        <f t="shared" si="16"/>
        <v>46</v>
      </c>
      <c r="U163">
        <f t="shared" si="16"/>
        <v>97</v>
      </c>
      <c r="V163">
        <f t="shared" si="16"/>
        <v>110</v>
      </c>
      <c r="W163" s="5">
        <f t="shared" si="14"/>
        <v>890</v>
      </c>
      <c r="X163" s="9" t="str">
        <f t="shared" si="15"/>
        <v>i890</v>
      </c>
    </row>
    <row r="164" spans="1:24" x14ac:dyDescent="0.2">
      <c r="A164" s="9" t="s">
        <v>425</v>
      </c>
      <c r="B164" s="10">
        <v>1</v>
      </c>
      <c r="C164" s="27">
        <v>4</v>
      </c>
      <c r="D164" s="21"/>
      <c r="E164" s="28">
        <v>45194</v>
      </c>
      <c r="F164" s="18" t="s">
        <v>363</v>
      </c>
      <c r="G164" s="21" t="s">
        <v>43</v>
      </c>
      <c r="H164" s="29">
        <v>0</v>
      </c>
      <c r="I164" s="21" t="s">
        <v>8</v>
      </c>
      <c r="J164" s="21" t="s">
        <v>7</v>
      </c>
      <c r="K164" s="21" t="s">
        <v>9</v>
      </c>
      <c r="L164" s="20">
        <f t="shared" si="13"/>
        <v>689</v>
      </c>
      <c r="M164" s="4" t="str">
        <f>IF(Table3[[#This Row],[Afrondingsdatum YB]]="N/A","-",Table3[[#This Row],[Afrondingsdatum YB]]-Table3[[#This Row],[StartDatum]])</f>
        <v>-</v>
      </c>
      <c r="N164" s="4"/>
      <c r="O164">
        <f t="shared" si="12"/>
        <v>108</v>
      </c>
      <c r="P164">
        <f t="shared" si="16"/>
        <v>117</v>
      </c>
      <c r="Q164">
        <f t="shared" si="16"/>
        <v>99</v>
      </c>
      <c r="R164">
        <f t="shared" si="16"/>
        <v>46</v>
      </c>
      <c r="S164">
        <f t="shared" si="16"/>
        <v>98</v>
      </c>
      <c r="T164">
        <f t="shared" si="16"/>
        <v>111</v>
      </c>
      <c r="U164">
        <f t="shared" si="16"/>
        <v>110</v>
      </c>
      <c r="V164">
        <f t="shared" si="16"/>
        <v>100</v>
      </c>
      <c r="W164" s="5">
        <f t="shared" si="14"/>
        <v>894</v>
      </c>
      <c r="X164" s="9" t="str">
        <f t="shared" si="15"/>
        <v>u894</v>
      </c>
    </row>
    <row r="165" spans="1:24" x14ac:dyDescent="0.2">
      <c r="A165" s="9" t="s">
        <v>425</v>
      </c>
      <c r="B165" s="10">
        <v>1</v>
      </c>
      <c r="C165" s="27">
        <v>4</v>
      </c>
      <c r="D165" s="21"/>
      <c r="E165" s="30">
        <v>45194</v>
      </c>
      <c r="F165" s="23" t="s">
        <v>364</v>
      </c>
      <c r="G165" s="26" t="s">
        <v>44</v>
      </c>
      <c r="H165" s="31">
        <v>0.1</v>
      </c>
      <c r="I165" s="26" t="s">
        <v>80</v>
      </c>
      <c r="J165" s="26" t="s">
        <v>7</v>
      </c>
      <c r="K165" s="26" t="s">
        <v>9</v>
      </c>
      <c r="L165" s="25">
        <f t="shared" si="13"/>
        <v>680</v>
      </c>
      <c r="M165" s="4" t="str">
        <f>IF(Table3[[#This Row],[Afrondingsdatum YB]]="N/A","-",Table3[[#This Row],[Afrondingsdatum YB]]-Table3[[#This Row],[StartDatum]])</f>
        <v>-</v>
      </c>
      <c r="N165" s="4"/>
      <c r="O165">
        <f t="shared" si="12"/>
        <v>108</v>
      </c>
      <c r="P165">
        <f t="shared" si="16"/>
        <v>117</v>
      </c>
      <c r="Q165">
        <f t="shared" si="16"/>
        <v>99</v>
      </c>
      <c r="R165">
        <f t="shared" si="16"/>
        <v>97</v>
      </c>
      <c r="S165">
        <f t="shared" si="16"/>
        <v>115</v>
      </c>
      <c r="T165">
        <f t="shared" si="16"/>
        <v>46</v>
      </c>
      <c r="U165">
        <f t="shared" si="16"/>
        <v>98</v>
      </c>
      <c r="V165">
        <f t="shared" si="16"/>
        <v>114</v>
      </c>
      <c r="W165" s="5">
        <f t="shared" si="14"/>
        <v>861</v>
      </c>
      <c r="X165" s="9" t="str">
        <f t="shared" si="15"/>
        <v>u861</v>
      </c>
    </row>
    <row r="166" spans="1:24" x14ac:dyDescent="0.2">
      <c r="A166" s="9" t="s">
        <v>425</v>
      </c>
      <c r="B166" s="10">
        <v>1</v>
      </c>
      <c r="C166" s="27">
        <v>4</v>
      </c>
      <c r="D166" s="21"/>
      <c r="E166" s="28">
        <v>45194</v>
      </c>
      <c r="F166" s="18" t="s">
        <v>363</v>
      </c>
      <c r="G166" s="21" t="s">
        <v>81</v>
      </c>
      <c r="H166" s="29">
        <v>0</v>
      </c>
      <c r="I166" s="21" t="s">
        <v>8</v>
      </c>
      <c r="J166" s="21" t="s">
        <v>7</v>
      </c>
      <c r="K166" s="21" t="s">
        <v>9</v>
      </c>
      <c r="L166" s="20">
        <f t="shared" si="13"/>
        <v>668</v>
      </c>
      <c r="M166" s="4" t="str">
        <f>IF(Table3[[#This Row],[Afrondingsdatum YB]]="N/A","-",Table3[[#This Row],[Afrondingsdatum YB]]-Table3[[#This Row],[StartDatum]])</f>
        <v>-</v>
      </c>
      <c r="N166" s="4"/>
      <c r="O166">
        <f t="shared" si="12"/>
        <v>76</v>
      </c>
      <c r="P166">
        <f t="shared" si="16"/>
        <v>117</v>
      </c>
      <c r="Q166">
        <f t="shared" si="16"/>
        <v>99</v>
      </c>
      <c r="R166">
        <f t="shared" si="16"/>
        <v>97</v>
      </c>
      <c r="S166">
        <f t="shared" si="16"/>
        <v>115</v>
      </c>
      <c r="T166">
        <f t="shared" si="16"/>
        <v>46</v>
      </c>
      <c r="U166">
        <f t="shared" si="16"/>
        <v>118</v>
      </c>
      <c r="V166">
        <f t="shared" si="16"/>
        <v>97</v>
      </c>
      <c r="W166" s="5">
        <f t="shared" si="14"/>
        <v>832</v>
      </c>
      <c r="X166" s="9" t="str">
        <f t="shared" si="15"/>
        <v>u832</v>
      </c>
    </row>
    <row r="167" spans="1:24" x14ac:dyDescent="0.2">
      <c r="A167" s="9" t="s">
        <v>425</v>
      </c>
      <c r="B167" s="10">
        <v>1</v>
      </c>
      <c r="C167" s="27">
        <v>4</v>
      </c>
      <c r="D167" s="21"/>
      <c r="E167" s="30">
        <v>45194</v>
      </c>
      <c r="F167" s="23" t="s">
        <v>364</v>
      </c>
      <c r="G167" s="26" t="s">
        <v>45</v>
      </c>
      <c r="H167" s="31">
        <v>0.18</v>
      </c>
      <c r="I167" s="26" t="s">
        <v>100</v>
      </c>
      <c r="J167" s="26" t="s">
        <v>7</v>
      </c>
      <c r="K167" s="26" t="s">
        <v>9</v>
      </c>
      <c r="L167" s="25">
        <f t="shared" si="13"/>
        <v>757</v>
      </c>
      <c r="M167" s="4" t="str">
        <f>IF(Table3[[#This Row],[Afrondingsdatum YB]]="N/A","-",Table3[[#This Row],[Afrondingsdatum YB]]-Table3[[#This Row],[StartDatum]])</f>
        <v>-</v>
      </c>
      <c r="N167" s="4"/>
      <c r="O167">
        <f t="shared" si="12"/>
        <v>109</v>
      </c>
      <c r="P167">
        <f t="shared" si="16"/>
        <v>97</v>
      </c>
      <c r="Q167">
        <f t="shared" si="16"/>
        <v>114</v>
      </c>
      <c r="R167">
        <f t="shared" si="16"/>
        <v>116</v>
      </c>
      <c r="S167">
        <f t="shared" si="16"/>
        <v>105</v>
      </c>
      <c r="T167">
        <f t="shared" si="16"/>
        <v>106</v>
      </c>
      <c r="U167">
        <f t="shared" si="16"/>
        <v>110</v>
      </c>
      <c r="V167">
        <f t="shared" si="16"/>
        <v>46</v>
      </c>
      <c r="W167" s="5">
        <f t="shared" si="14"/>
        <v>896</v>
      </c>
      <c r="X167" s="9" t="str">
        <f t="shared" si="15"/>
        <v>a896</v>
      </c>
    </row>
    <row r="168" spans="1:24" x14ac:dyDescent="0.2">
      <c r="A168" s="9" t="s">
        <v>425</v>
      </c>
      <c r="B168" s="10">
        <v>1</v>
      </c>
      <c r="C168" s="27">
        <v>4</v>
      </c>
      <c r="D168" s="21"/>
      <c r="E168" s="28">
        <v>45194</v>
      </c>
      <c r="F168" s="18" t="s">
        <v>364</v>
      </c>
      <c r="G168" s="21" t="s">
        <v>46</v>
      </c>
      <c r="H168" s="29">
        <v>0.09</v>
      </c>
      <c r="I168" s="21" t="s">
        <v>101</v>
      </c>
      <c r="J168" s="21" t="s">
        <v>7</v>
      </c>
      <c r="K168" s="21" t="s">
        <v>9</v>
      </c>
      <c r="L168" s="20">
        <f t="shared" si="13"/>
        <v>682</v>
      </c>
      <c r="M168" s="4" t="str">
        <f>IF(Table3[[#This Row],[Afrondingsdatum YB]]="N/A","-",Table3[[#This Row],[Afrondingsdatum YB]]-Table3[[#This Row],[StartDatum]])</f>
        <v>-</v>
      </c>
      <c r="N168" s="4"/>
      <c r="O168">
        <f t="shared" si="12"/>
        <v>109</v>
      </c>
      <c r="P168">
        <f t="shared" si="16"/>
        <v>97</v>
      </c>
      <c r="Q168">
        <f t="shared" si="16"/>
        <v>114</v>
      </c>
      <c r="R168">
        <f t="shared" si="16"/>
        <v>119</v>
      </c>
      <c r="S168">
        <f t="shared" si="16"/>
        <v>97</v>
      </c>
      <c r="T168">
        <f t="shared" si="16"/>
        <v>46</v>
      </c>
      <c r="U168">
        <f t="shared" si="16"/>
        <v>100</v>
      </c>
      <c r="V168">
        <f t="shared" si="16"/>
        <v>97</v>
      </c>
      <c r="W168" s="5">
        <f t="shared" si="14"/>
        <v>869</v>
      </c>
      <c r="X168" s="9" t="str">
        <f t="shared" si="15"/>
        <v>a869</v>
      </c>
    </row>
    <row r="169" spans="1:24" x14ac:dyDescent="0.2">
      <c r="A169" s="9" t="s">
        <v>425</v>
      </c>
      <c r="B169" s="10">
        <v>1</v>
      </c>
      <c r="C169" s="27">
        <v>4</v>
      </c>
      <c r="D169" s="21"/>
      <c r="E169" s="30">
        <v>45194</v>
      </c>
      <c r="F169" s="23" t="s">
        <v>364</v>
      </c>
      <c r="G169" s="26" t="s">
        <v>47</v>
      </c>
      <c r="H169" s="31">
        <v>0</v>
      </c>
      <c r="I169" s="26" t="s">
        <v>8</v>
      </c>
      <c r="J169" s="26" t="s">
        <v>7</v>
      </c>
      <c r="K169" s="26" t="s">
        <v>9</v>
      </c>
      <c r="L169" s="25">
        <f t="shared" si="13"/>
        <v>673</v>
      </c>
      <c r="M169" s="4" t="str">
        <f>IF(Table3[[#This Row],[Afrondingsdatum YB]]="N/A","-",Table3[[#This Row],[Afrondingsdatum YB]]-Table3[[#This Row],[StartDatum]])</f>
        <v>-</v>
      </c>
      <c r="N169" s="4"/>
      <c r="O169">
        <f t="shared" si="12"/>
        <v>109</v>
      </c>
      <c r="P169">
        <f t="shared" si="16"/>
        <v>101</v>
      </c>
      <c r="Q169">
        <f t="shared" si="16"/>
        <v>101</v>
      </c>
      <c r="R169">
        <f t="shared" si="16"/>
        <v>115</v>
      </c>
      <c r="S169">
        <f t="shared" si="16"/>
        <v>46</v>
      </c>
      <c r="T169">
        <f t="shared" si="16"/>
        <v>100</v>
      </c>
      <c r="U169">
        <f t="shared" si="16"/>
        <v>101</v>
      </c>
      <c r="V169">
        <f t="shared" si="16"/>
        <v>46</v>
      </c>
      <c r="W169" s="5">
        <f t="shared" si="14"/>
        <v>784</v>
      </c>
      <c r="X169" s="9" t="str">
        <f t="shared" si="15"/>
        <v>e784</v>
      </c>
    </row>
    <row r="170" spans="1:24" x14ac:dyDescent="0.2">
      <c r="A170" s="9" t="s">
        <v>425</v>
      </c>
      <c r="B170" s="10">
        <v>1</v>
      </c>
      <c r="C170" s="27">
        <v>4</v>
      </c>
      <c r="D170" s="21"/>
      <c r="E170" s="28">
        <v>45194</v>
      </c>
      <c r="F170" s="18" t="s">
        <v>363</v>
      </c>
      <c r="G170" s="21" t="s">
        <v>48</v>
      </c>
      <c r="H170" s="29">
        <v>0</v>
      </c>
      <c r="I170" s="21" t="s">
        <v>8</v>
      </c>
      <c r="J170" s="21" t="s">
        <v>7</v>
      </c>
      <c r="K170" s="21" t="s">
        <v>9</v>
      </c>
      <c r="L170" s="20">
        <f t="shared" si="13"/>
        <v>675</v>
      </c>
      <c r="M170" s="4" t="str">
        <f>IF(Table3[[#This Row],[Afrondingsdatum YB]]="N/A","-",Table3[[#This Row],[Afrondingsdatum YB]]-Table3[[#This Row],[StartDatum]])</f>
        <v>-</v>
      </c>
      <c r="N170" s="4"/>
      <c r="O170">
        <f t="shared" si="12"/>
        <v>109</v>
      </c>
      <c r="P170">
        <f t="shared" si="16"/>
        <v>105</v>
      </c>
      <c r="Q170">
        <f t="shared" si="16"/>
        <v>108</v>
      </c>
      <c r="R170">
        <f t="shared" si="16"/>
        <v>97</v>
      </c>
      <c r="S170">
        <f t="shared" si="16"/>
        <v>110</v>
      </c>
      <c r="T170">
        <f t="shared" si="16"/>
        <v>46</v>
      </c>
      <c r="U170">
        <f t="shared" si="16"/>
        <v>100</v>
      </c>
      <c r="V170">
        <f t="shared" si="16"/>
        <v>105</v>
      </c>
      <c r="W170" s="5">
        <f t="shared" si="14"/>
        <v>871</v>
      </c>
      <c r="X170" s="9" t="str">
        <f t="shared" si="15"/>
        <v>i871</v>
      </c>
    </row>
    <row r="171" spans="1:24" x14ac:dyDescent="0.2">
      <c r="A171" s="9" t="s">
        <v>425</v>
      </c>
      <c r="B171" s="10">
        <v>1</v>
      </c>
      <c r="C171" s="27">
        <v>4</v>
      </c>
      <c r="D171" s="21"/>
      <c r="E171" s="30">
        <v>45194</v>
      </c>
      <c r="F171" s="23" t="s">
        <v>364</v>
      </c>
      <c r="G171" s="26" t="s">
        <v>49</v>
      </c>
      <c r="H171" s="31">
        <v>0.11</v>
      </c>
      <c r="I171" s="26" t="s">
        <v>83</v>
      </c>
      <c r="J171" s="26" t="s">
        <v>7</v>
      </c>
      <c r="K171" s="26" t="s">
        <v>9</v>
      </c>
      <c r="L171" s="25">
        <f t="shared" si="13"/>
        <v>690</v>
      </c>
      <c r="M171" s="4" t="str">
        <f>IF(Table3[[#This Row],[Afrondingsdatum YB]]="N/A","-",Table3[[#This Row],[Afrondingsdatum YB]]-Table3[[#This Row],[StartDatum]])</f>
        <v>-</v>
      </c>
      <c r="N171" s="4"/>
      <c r="O171">
        <f t="shared" si="12"/>
        <v>109</v>
      </c>
      <c r="P171">
        <f t="shared" si="16"/>
        <v>105</v>
      </c>
      <c r="Q171">
        <f t="shared" si="16"/>
        <v>114</v>
      </c>
      <c r="R171">
        <f t="shared" si="16"/>
        <v>110</v>
      </c>
      <c r="S171">
        <f t="shared" si="16"/>
        <v>97</v>
      </c>
      <c r="T171">
        <f t="shared" si="16"/>
        <v>46</v>
      </c>
      <c r="U171">
        <f t="shared" si="16"/>
        <v>109</v>
      </c>
      <c r="V171">
        <f t="shared" si="16"/>
        <v>111</v>
      </c>
      <c r="W171" s="5">
        <f t="shared" si="14"/>
        <v>894</v>
      </c>
      <c r="X171" s="9" t="str">
        <f t="shared" si="15"/>
        <v>i894</v>
      </c>
    </row>
    <row r="172" spans="1:24" x14ac:dyDescent="0.2">
      <c r="A172" s="9" t="s">
        <v>425</v>
      </c>
      <c r="B172" s="10">
        <v>1</v>
      </c>
      <c r="C172" s="27">
        <v>4</v>
      </c>
      <c r="D172" s="21"/>
      <c r="E172" s="28">
        <v>45194</v>
      </c>
      <c r="F172" s="18" t="s">
        <v>364</v>
      </c>
      <c r="G172" s="21" t="s">
        <v>50</v>
      </c>
      <c r="H172" s="29">
        <v>0.19</v>
      </c>
      <c r="I172" s="21" t="s">
        <v>102</v>
      </c>
      <c r="J172" s="21" t="s">
        <v>7</v>
      </c>
      <c r="K172" s="21" t="s">
        <v>9</v>
      </c>
      <c r="L172" s="20">
        <f t="shared" si="13"/>
        <v>731</v>
      </c>
      <c r="M172" s="4" t="str">
        <f>IF(Table3[[#This Row],[Afrondingsdatum YB]]="N/A","-",Table3[[#This Row],[Afrondingsdatum YB]]-Table3[[#This Row],[StartDatum]])</f>
        <v>-</v>
      </c>
      <c r="N172" s="4"/>
      <c r="O172">
        <f t="shared" si="12"/>
        <v>109</v>
      </c>
      <c r="P172">
        <f t="shared" si="16"/>
        <v>111</v>
      </c>
      <c r="Q172">
        <f t="shared" si="16"/>
        <v>104</v>
      </c>
      <c r="R172">
        <f t="shared" si="16"/>
        <v>97</v>
      </c>
      <c r="S172">
        <f t="shared" si="16"/>
        <v>109</v>
      </c>
      <c r="T172">
        <f t="shared" si="16"/>
        <v>101</v>
      </c>
      <c r="U172">
        <f t="shared" si="16"/>
        <v>100</v>
      </c>
      <c r="V172">
        <f t="shared" si="16"/>
        <v>46</v>
      </c>
      <c r="W172" s="5">
        <f t="shared" si="14"/>
        <v>857</v>
      </c>
      <c r="X172" s="9" t="str">
        <f t="shared" si="15"/>
        <v>o857</v>
      </c>
    </row>
    <row r="173" spans="1:24" x14ac:dyDescent="0.2">
      <c r="A173" s="9" t="s">
        <v>425</v>
      </c>
      <c r="B173" s="10">
        <v>1</v>
      </c>
      <c r="C173" s="27">
        <v>4</v>
      </c>
      <c r="D173" s="21"/>
      <c r="E173" s="30">
        <v>45194</v>
      </c>
      <c r="F173" s="23" t="s">
        <v>363</v>
      </c>
      <c r="G173" s="26" t="s">
        <v>51</v>
      </c>
      <c r="H173" s="31">
        <v>0.11</v>
      </c>
      <c r="I173" s="26" t="s">
        <v>103</v>
      </c>
      <c r="J173" s="26" t="s">
        <v>7</v>
      </c>
      <c r="K173" s="26" t="s">
        <v>9</v>
      </c>
      <c r="L173" s="25">
        <f t="shared" si="13"/>
        <v>742</v>
      </c>
      <c r="M173" s="4" t="str">
        <f>IF(Table3[[#This Row],[Afrondingsdatum YB]]="N/A","-",Table3[[#This Row],[Afrondingsdatum YB]]-Table3[[#This Row],[StartDatum]])</f>
        <v>-</v>
      </c>
      <c r="N173" s="4"/>
      <c r="O173">
        <f t="shared" si="12"/>
        <v>110</v>
      </c>
      <c r="P173">
        <f t="shared" si="16"/>
        <v>97</v>
      </c>
      <c r="Q173">
        <f t="shared" si="16"/>
        <v>111</v>
      </c>
      <c r="R173">
        <f t="shared" si="16"/>
        <v>117</v>
      </c>
      <c r="S173">
        <f t="shared" si="16"/>
        <v>102</v>
      </c>
      <c r="T173">
        <f t="shared" si="16"/>
        <v>97</v>
      </c>
      <c r="U173">
        <f t="shared" si="16"/>
        <v>108</v>
      </c>
      <c r="V173">
        <f t="shared" si="16"/>
        <v>46</v>
      </c>
      <c r="W173" s="5">
        <f t="shared" si="14"/>
        <v>874</v>
      </c>
      <c r="X173" s="9" t="str">
        <f t="shared" si="15"/>
        <v>a874</v>
      </c>
    </row>
    <row r="174" spans="1:24" x14ac:dyDescent="0.2">
      <c r="A174" s="9" t="s">
        <v>425</v>
      </c>
      <c r="B174" s="10">
        <v>1</v>
      </c>
      <c r="C174" s="27">
        <v>4</v>
      </c>
      <c r="D174" s="21"/>
      <c r="E174" s="28">
        <v>45194</v>
      </c>
      <c r="F174" s="18" t="s">
        <v>362</v>
      </c>
      <c r="G174" s="21" t="s">
        <v>52</v>
      </c>
      <c r="H174" s="29">
        <v>0</v>
      </c>
      <c r="I174" s="21" t="s">
        <v>8</v>
      </c>
      <c r="J174" s="21" t="s">
        <v>7</v>
      </c>
      <c r="K174" s="21" t="s">
        <v>9</v>
      </c>
      <c r="L174" s="20">
        <f t="shared" si="13"/>
        <v>684</v>
      </c>
      <c r="M174" s="4" t="str">
        <f>IF(Table3[[#This Row],[Afrondingsdatum YB]]="N/A","-",Table3[[#This Row],[Afrondingsdatum YB]]-Table3[[#This Row],[StartDatum]])</f>
        <v>-</v>
      </c>
      <c r="N174" s="4"/>
      <c r="O174">
        <f t="shared" si="12"/>
        <v>110</v>
      </c>
      <c r="P174">
        <f t="shared" si="16"/>
        <v>105</v>
      </c>
      <c r="Q174">
        <f t="shared" si="16"/>
        <v>99</v>
      </c>
      <c r="R174">
        <f t="shared" si="16"/>
        <v>107</v>
      </c>
      <c r="S174">
        <f t="shared" si="16"/>
        <v>46</v>
      </c>
      <c r="T174">
        <f t="shared" si="16"/>
        <v>106</v>
      </c>
      <c r="U174">
        <f t="shared" si="16"/>
        <v>111</v>
      </c>
      <c r="V174">
        <f t="shared" si="16"/>
        <v>111</v>
      </c>
      <c r="W174" s="5">
        <f t="shared" si="14"/>
        <v>860</v>
      </c>
      <c r="X174" s="9" t="str">
        <f t="shared" si="15"/>
        <v>i860</v>
      </c>
    </row>
    <row r="175" spans="1:24" x14ac:dyDescent="0.2">
      <c r="A175" s="9" t="s">
        <v>425</v>
      </c>
      <c r="B175" s="10">
        <v>1</v>
      </c>
      <c r="C175" s="27">
        <v>4</v>
      </c>
      <c r="D175" s="21"/>
      <c r="E175" s="30">
        <v>45194</v>
      </c>
      <c r="F175" s="23" t="s">
        <v>364</v>
      </c>
      <c r="G175" s="26" t="s">
        <v>53</v>
      </c>
      <c r="H175" s="31">
        <v>0</v>
      </c>
      <c r="I175" s="26" t="s">
        <v>8</v>
      </c>
      <c r="J175" s="26" t="s">
        <v>7</v>
      </c>
      <c r="K175" s="26" t="s">
        <v>9</v>
      </c>
      <c r="L175" s="25">
        <f t="shared" si="13"/>
        <v>737</v>
      </c>
      <c r="M175" s="4" t="str">
        <f>IF(Table3[[#This Row],[Afrondingsdatum YB]]="N/A","-",Table3[[#This Row],[Afrondingsdatum YB]]-Table3[[#This Row],[StartDatum]])</f>
        <v>-</v>
      </c>
      <c r="N175" s="4"/>
      <c r="O175">
        <f t="shared" si="12"/>
        <v>110</v>
      </c>
      <c r="P175">
        <f t="shared" si="16"/>
        <v>105</v>
      </c>
      <c r="Q175">
        <f t="shared" si="16"/>
        <v>99</v>
      </c>
      <c r="R175">
        <f t="shared" si="16"/>
        <v>107</v>
      </c>
      <c r="S175">
        <f t="shared" si="16"/>
        <v>111</v>
      </c>
      <c r="T175">
        <f t="shared" si="16"/>
        <v>108</v>
      </c>
      <c r="U175">
        <f t="shared" si="16"/>
        <v>97</v>
      </c>
      <c r="V175">
        <f t="shared" si="16"/>
        <v>115</v>
      </c>
      <c r="W175" s="5">
        <f t="shared" si="14"/>
        <v>917</v>
      </c>
      <c r="X175" s="9" t="str">
        <f t="shared" si="15"/>
        <v>i917</v>
      </c>
    </row>
    <row r="176" spans="1:24" x14ac:dyDescent="0.2">
      <c r="A176" s="9" t="s">
        <v>425</v>
      </c>
      <c r="B176" s="10">
        <v>1</v>
      </c>
      <c r="C176" s="27">
        <v>4</v>
      </c>
      <c r="D176" s="21"/>
      <c r="E176" s="28">
        <v>45194</v>
      </c>
      <c r="F176" s="18" t="s">
        <v>364</v>
      </c>
      <c r="G176" s="21" t="s">
        <v>54</v>
      </c>
      <c r="H176" s="29">
        <v>0</v>
      </c>
      <c r="I176" s="21" t="s">
        <v>8</v>
      </c>
      <c r="J176" s="21" t="s">
        <v>7</v>
      </c>
      <c r="K176" s="21" t="s">
        <v>9</v>
      </c>
      <c r="L176" s="20">
        <f t="shared" si="13"/>
        <v>705</v>
      </c>
      <c r="M176" s="4" t="str">
        <f>IF(Table3[[#This Row],[Afrondingsdatum YB]]="N/A","-",Table3[[#This Row],[Afrondingsdatum YB]]-Table3[[#This Row],[StartDatum]])</f>
        <v>-</v>
      </c>
      <c r="N176" s="4"/>
      <c r="O176">
        <f t="shared" si="12"/>
        <v>110</v>
      </c>
      <c r="P176">
        <f t="shared" si="16"/>
        <v>105</v>
      </c>
      <c r="Q176">
        <f t="shared" si="16"/>
        <v>115</v>
      </c>
      <c r="R176">
        <f t="shared" si="16"/>
        <v>114</v>
      </c>
      <c r="S176">
        <f t="shared" si="16"/>
        <v>105</v>
      </c>
      <c r="T176">
        <f t="shared" si="16"/>
        <v>110</v>
      </c>
      <c r="U176">
        <f t="shared" si="16"/>
        <v>46</v>
      </c>
      <c r="V176">
        <f t="shared" si="16"/>
        <v>104</v>
      </c>
      <c r="W176" s="5">
        <f t="shared" si="14"/>
        <v>901</v>
      </c>
      <c r="X176" s="9" t="str">
        <f t="shared" si="15"/>
        <v>i901</v>
      </c>
    </row>
    <row r="177" spans="1:24" x14ac:dyDescent="0.2">
      <c r="A177" s="9" t="s">
        <v>425</v>
      </c>
      <c r="B177" s="10">
        <v>1</v>
      </c>
      <c r="C177" s="27">
        <v>4</v>
      </c>
      <c r="D177" s="21"/>
      <c r="E177" s="30">
        <v>45194</v>
      </c>
      <c r="F177" s="23" t="s">
        <v>364</v>
      </c>
      <c r="G177" s="26" t="s">
        <v>55</v>
      </c>
      <c r="H177" s="31">
        <v>0.13</v>
      </c>
      <c r="I177" s="26" t="s">
        <v>104</v>
      </c>
      <c r="J177" s="26" t="s">
        <v>7</v>
      </c>
      <c r="K177" s="26" t="s">
        <v>9</v>
      </c>
      <c r="L177" s="25">
        <f t="shared" si="13"/>
        <v>681</v>
      </c>
      <c r="M177" s="4" t="str">
        <f>IF(Table3[[#This Row],[Afrondingsdatum YB]]="N/A","-",Table3[[#This Row],[Afrondingsdatum YB]]-Table3[[#This Row],[StartDatum]])</f>
        <v>-</v>
      </c>
      <c r="N177" s="4"/>
      <c r="O177">
        <f t="shared" si="12"/>
        <v>110</v>
      </c>
      <c r="P177">
        <f t="shared" si="16"/>
        <v>111</v>
      </c>
      <c r="Q177">
        <f t="shared" si="16"/>
        <v>101</v>
      </c>
      <c r="R177">
        <f t="shared" si="16"/>
        <v>108</v>
      </c>
      <c r="S177">
        <f t="shared" si="16"/>
        <v>108</v>
      </c>
      <c r="T177">
        <f t="shared" si="16"/>
        <v>97</v>
      </c>
      <c r="U177">
        <f t="shared" si="16"/>
        <v>46</v>
      </c>
      <c r="V177">
        <f t="shared" si="16"/>
        <v>108</v>
      </c>
      <c r="W177" s="5">
        <f t="shared" si="14"/>
        <v>855</v>
      </c>
      <c r="X177" s="9" t="str">
        <f t="shared" si="15"/>
        <v>o855</v>
      </c>
    </row>
    <row r="178" spans="1:24" x14ac:dyDescent="0.2">
      <c r="A178" s="9" t="s">
        <v>425</v>
      </c>
      <c r="B178" s="10">
        <v>1</v>
      </c>
      <c r="C178" s="27">
        <v>4</v>
      </c>
      <c r="D178" s="21"/>
      <c r="E178" s="28">
        <v>45194</v>
      </c>
      <c r="F178" s="18" t="s">
        <v>363</v>
      </c>
      <c r="G178" s="21" t="s">
        <v>56</v>
      </c>
      <c r="H178" s="29">
        <v>0.46</v>
      </c>
      <c r="I178" s="21" t="s">
        <v>88</v>
      </c>
      <c r="J178" s="21" t="s">
        <v>7</v>
      </c>
      <c r="K178" s="21" t="s">
        <v>9</v>
      </c>
      <c r="L178" s="20">
        <f t="shared" si="13"/>
        <v>708</v>
      </c>
      <c r="M178" s="4" t="str">
        <f>IF(Table3[[#This Row],[Afrondingsdatum YB]]="N/A","-",Table3[[#This Row],[Afrondingsdatum YB]]-Table3[[#This Row],[StartDatum]])</f>
        <v>-</v>
      </c>
      <c r="N178" s="4"/>
      <c r="O178">
        <f t="shared" si="12"/>
        <v>110</v>
      </c>
      <c r="P178">
        <f t="shared" si="16"/>
        <v>117</v>
      </c>
      <c r="Q178">
        <f t="shared" si="16"/>
        <v>112</v>
      </c>
      <c r="R178">
        <f t="shared" si="16"/>
        <v>101</v>
      </c>
      <c r="S178">
        <f t="shared" si="16"/>
        <v>108</v>
      </c>
      <c r="T178">
        <f t="shared" si="16"/>
        <v>46</v>
      </c>
      <c r="U178">
        <f t="shared" si="16"/>
        <v>114</v>
      </c>
      <c r="V178">
        <f t="shared" si="16"/>
        <v>117</v>
      </c>
      <c r="W178" s="5">
        <f t="shared" si="14"/>
        <v>915</v>
      </c>
      <c r="X178" s="9" t="str">
        <f t="shared" si="15"/>
        <v>u915</v>
      </c>
    </row>
    <row r="179" spans="1:24" x14ac:dyDescent="0.2">
      <c r="A179" s="9" t="s">
        <v>425</v>
      </c>
      <c r="B179" s="10">
        <v>1</v>
      </c>
      <c r="C179" s="27">
        <v>4</v>
      </c>
      <c r="D179" s="21"/>
      <c r="E179" s="30">
        <v>45194</v>
      </c>
      <c r="F179" s="23" t="s">
        <v>364</v>
      </c>
      <c r="G179" s="26" t="s">
        <v>57</v>
      </c>
      <c r="H179" s="31">
        <v>0.13</v>
      </c>
      <c r="I179" s="26" t="s">
        <v>105</v>
      </c>
      <c r="J179" s="26" t="s">
        <v>7</v>
      </c>
      <c r="K179" s="26" t="s">
        <v>9</v>
      </c>
      <c r="L179" s="25">
        <f t="shared" si="13"/>
        <v>762</v>
      </c>
      <c r="M179" s="4" t="str">
        <f>IF(Table3[[#This Row],[Afrondingsdatum YB]]="N/A","-",Table3[[#This Row],[Afrondingsdatum YB]]-Table3[[#This Row],[StartDatum]])</f>
        <v>-</v>
      </c>
      <c r="N179" s="4"/>
      <c r="O179">
        <f t="shared" si="12"/>
        <v>111</v>
      </c>
      <c r="P179">
        <f t="shared" si="16"/>
        <v>108</v>
      </c>
      <c r="Q179">
        <f t="shared" si="16"/>
        <v>105</v>
      </c>
      <c r="R179">
        <f t="shared" si="16"/>
        <v>118</v>
      </c>
      <c r="S179">
        <f t="shared" si="16"/>
        <v>105</v>
      </c>
      <c r="T179">
        <f t="shared" si="16"/>
        <v>101</v>
      </c>
      <c r="U179">
        <f t="shared" si="16"/>
        <v>114</v>
      </c>
      <c r="V179">
        <f t="shared" si="16"/>
        <v>46</v>
      </c>
      <c r="W179" s="5">
        <f t="shared" si="14"/>
        <v>876</v>
      </c>
      <c r="X179" s="9" t="str">
        <f t="shared" si="15"/>
        <v>l876</v>
      </c>
    </row>
    <row r="180" spans="1:24" x14ac:dyDescent="0.2">
      <c r="A180" s="9" t="s">
        <v>425</v>
      </c>
      <c r="B180" s="10">
        <v>1</v>
      </c>
      <c r="C180" s="27">
        <v>4</v>
      </c>
      <c r="D180" s="21"/>
      <c r="E180" s="28">
        <v>45194</v>
      </c>
      <c r="F180" s="18" t="s">
        <v>362</v>
      </c>
      <c r="G180" s="21" t="s">
        <v>58</v>
      </c>
      <c r="H180" s="29">
        <v>0.04</v>
      </c>
      <c r="I180" s="21" t="s">
        <v>72</v>
      </c>
      <c r="J180" s="21" t="s">
        <v>7</v>
      </c>
      <c r="K180" s="21" t="s">
        <v>9</v>
      </c>
      <c r="L180" s="20">
        <f t="shared" si="13"/>
        <v>681</v>
      </c>
      <c r="M180" s="4" t="str">
        <f>IF(Table3[[#This Row],[Afrondingsdatum YB]]="N/A","-",Table3[[#This Row],[Afrondingsdatum YB]]-Table3[[#This Row],[StartDatum]])</f>
        <v>-</v>
      </c>
      <c r="N180" s="4"/>
      <c r="O180">
        <f t="shared" si="12"/>
        <v>112</v>
      </c>
      <c r="P180">
        <f t="shared" si="16"/>
        <v>97</v>
      </c>
      <c r="Q180">
        <f t="shared" si="16"/>
        <v>117</v>
      </c>
      <c r="R180">
        <f t="shared" si="16"/>
        <v>108</v>
      </c>
      <c r="S180">
        <f t="shared" si="16"/>
        <v>46</v>
      </c>
      <c r="T180">
        <f t="shared" si="16"/>
        <v>100</v>
      </c>
      <c r="U180">
        <f t="shared" si="16"/>
        <v>101</v>
      </c>
      <c r="V180">
        <f t="shared" si="16"/>
        <v>46</v>
      </c>
      <c r="W180" s="5">
        <f t="shared" si="14"/>
        <v>832</v>
      </c>
      <c r="X180" s="9" t="str">
        <f t="shared" si="15"/>
        <v>a832</v>
      </c>
    </row>
    <row r="181" spans="1:24" x14ac:dyDescent="0.2">
      <c r="A181" s="9" t="s">
        <v>425</v>
      </c>
      <c r="B181" s="10">
        <v>1</v>
      </c>
      <c r="C181" s="27">
        <v>4</v>
      </c>
      <c r="D181" s="21"/>
      <c r="E181" s="30">
        <v>45194</v>
      </c>
      <c r="F181" s="23" t="s">
        <v>364</v>
      </c>
      <c r="G181" s="26" t="s">
        <v>59</v>
      </c>
      <c r="H181" s="31">
        <v>0</v>
      </c>
      <c r="I181" s="26" t="s">
        <v>8</v>
      </c>
      <c r="J181" s="26" t="s">
        <v>7</v>
      </c>
      <c r="K181" s="26" t="s">
        <v>9</v>
      </c>
      <c r="L181" s="25">
        <f t="shared" si="13"/>
        <v>695</v>
      </c>
      <c r="M181" s="4" t="str">
        <f>IF(Table3[[#This Row],[Afrondingsdatum YB]]="N/A","-",Table3[[#This Row],[Afrondingsdatum YB]]-Table3[[#This Row],[StartDatum]])</f>
        <v>-</v>
      </c>
      <c r="N181" s="4"/>
      <c r="O181">
        <f t="shared" ref="O181:V223" si="17">CODE(MID($G181,O$1,1))</f>
        <v>112</v>
      </c>
      <c r="P181">
        <f t="shared" si="16"/>
        <v>105</v>
      </c>
      <c r="Q181">
        <f t="shared" si="16"/>
        <v>101</v>
      </c>
      <c r="R181">
        <f t="shared" si="16"/>
        <v>116</v>
      </c>
      <c r="S181">
        <f t="shared" si="16"/>
        <v>101</v>
      </c>
      <c r="T181">
        <f t="shared" si="16"/>
        <v>114</v>
      </c>
      <c r="U181">
        <f t="shared" si="16"/>
        <v>46</v>
      </c>
      <c r="V181">
        <f t="shared" si="16"/>
        <v>109</v>
      </c>
      <c r="W181" s="5">
        <f t="shared" si="14"/>
        <v>867</v>
      </c>
      <c r="X181" s="9" t="str">
        <f t="shared" si="15"/>
        <v>i867</v>
      </c>
    </row>
    <row r="182" spans="1:24" x14ac:dyDescent="0.2">
      <c r="A182" s="9" t="s">
        <v>425</v>
      </c>
      <c r="B182" s="10">
        <v>1</v>
      </c>
      <c r="C182" s="27">
        <v>4</v>
      </c>
      <c r="D182" s="21"/>
      <c r="E182" s="28">
        <v>45194</v>
      </c>
      <c r="F182" s="18" t="s">
        <v>362</v>
      </c>
      <c r="G182" s="21" t="s">
        <v>60</v>
      </c>
      <c r="H182" s="29">
        <v>0.09</v>
      </c>
      <c r="I182" s="21" t="s">
        <v>106</v>
      </c>
      <c r="J182" s="21" t="s">
        <v>7</v>
      </c>
      <c r="K182" s="21" t="s">
        <v>9</v>
      </c>
      <c r="L182" s="20">
        <f t="shared" si="13"/>
        <v>703</v>
      </c>
      <c r="M182" s="4" t="str">
        <f>IF(Table3[[#This Row],[Afrondingsdatum YB]]="N/A","-",Table3[[#This Row],[Afrondingsdatum YB]]-Table3[[#This Row],[StartDatum]])</f>
        <v>-</v>
      </c>
      <c r="N182" s="4"/>
      <c r="O182">
        <f t="shared" si="17"/>
        <v>114</v>
      </c>
      <c r="P182">
        <f t="shared" si="16"/>
        <v>101</v>
      </c>
      <c r="Q182">
        <f t="shared" si="16"/>
        <v>110</v>
      </c>
      <c r="R182">
        <f t="shared" si="16"/>
        <v>115</v>
      </c>
      <c r="S182">
        <f t="shared" si="16"/>
        <v>46</v>
      </c>
      <c r="T182">
        <f t="shared" si="16"/>
        <v>103</v>
      </c>
      <c r="U182">
        <f t="shared" si="16"/>
        <v>114</v>
      </c>
      <c r="V182">
        <f t="shared" si="16"/>
        <v>111</v>
      </c>
      <c r="W182" s="5">
        <f t="shared" si="14"/>
        <v>897</v>
      </c>
      <c r="X182" s="9" t="str">
        <f t="shared" si="15"/>
        <v>e897</v>
      </c>
    </row>
    <row r="183" spans="1:24" x14ac:dyDescent="0.2">
      <c r="A183" s="9" t="s">
        <v>425</v>
      </c>
      <c r="B183" s="10">
        <v>1</v>
      </c>
      <c r="C183" s="27">
        <v>4</v>
      </c>
      <c r="D183" s="21"/>
      <c r="E183" s="30">
        <v>45194</v>
      </c>
      <c r="F183" s="23" t="s">
        <v>363</v>
      </c>
      <c r="G183" s="26" t="s">
        <v>61</v>
      </c>
      <c r="H183" s="31">
        <v>0</v>
      </c>
      <c r="I183" s="26" t="s">
        <v>8</v>
      </c>
      <c r="J183" s="26" t="s">
        <v>7</v>
      </c>
      <c r="K183" s="26" t="s">
        <v>9</v>
      </c>
      <c r="L183" s="25">
        <f t="shared" si="13"/>
        <v>697</v>
      </c>
      <c r="M183" s="4" t="str">
        <f>IF(Table3[[#This Row],[Afrondingsdatum YB]]="N/A","-",Table3[[#This Row],[Afrondingsdatum YB]]-Table3[[#This Row],[StartDatum]])</f>
        <v>-</v>
      </c>
      <c r="N183" s="4"/>
      <c r="O183">
        <f t="shared" si="17"/>
        <v>114</v>
      </c>
      <c r="P183">
        <f t="shared" si="16"/>
        <v>111</v>
      </c>
      <c r="Q183">
        <f t="shared" si="16"/>
        <v>119</v>
      </c>
      <c r="R183">
        <f t="shared" si="16"/>
        <v>97</v>
      </c>
      <c r="S183">
        <f t="shared" si="16"/>
        <v>110</v>
      </c>
      <c r="T183">
        <f t="shared" si="16"/>
        <v>46</v>
      </c>
      <c r="U183">
        <f t="shared" si="16"/>
        <v>100</v>
      </c>
      <c r="V183">
        <f t="shared" si="16"/>
        <v>101</v>
      </c>
      <c r="W183" s="5">
        <f t="shared" si="14"/>
        <v>908</v>
      </c>
      <c r="X183" s="9" t="str">
        <f t="shared" si="15"/>
        <v>o908</v>
      </c>
    </row>
    <row r="184" spans="1:24" x14ac:dyDescent="0.2">
      <c r="A184" s="9" t="s">
        <v>425</v>
      </c>
      <c r="B184" s="10">
        <v>1</v>
      </c>
      <c r="C184" s="27">
        <v>4</v>
      </c>
      <c r="D184" s="21"/>
      <c r="E184" s="28">
        <v>45194</v>
      </c>
      <c r="F184" s="18" t="s">
        <v>363</v>
      </c>
      <c r="G184" s="21" t="s">
        <v>84</v>
      </c>
      <c r="H184" s="29">
        <v>0</v>
      </c>
      <c r="I184" s="21" t="s">
        <v>8</v>
      </c>
      <c r="J184" s="21" t="s">
        <v>7</v>
      </c>
      <c r="K184" s="21" t="s">
        <v>9</v>
      </c>
      <c r="L184" s="20">
        <f t="shared" si="13"/>
        <v>683</v>
      </c>
      <c r="M184" s="4" t="str">
        <f>IF(Table3[[#This Row],[Afrondingsdatum YB]]="N/A","-",Table3[[#This Row],[Afrondingsdatum YB]]-Table3[[#This Row],[StartDatum]])</f>
        <v>-</v>
      </c>
      <c r="N184" s="4"/>
      <c r="O184">
        <f t="shared" si="17"/>
        <v>115</v>
      </c>
      <c r="P184">
        <f t="shared" si="16"/>
        <v>97</v>
      </c>
      <c r="Q184">
        <f t="shared" si="16"/>
        <v>110</v>
      </c>
      <c r="R184">
        <f t="shared" si="16"/>
        <v>100</v>
      </c>
      <c r="S184">
        <f t="shared" si="16"/>
        <v>101</v>
      </c>
      <c r="T184">
        <f t="shared" si="16"/>
        <v>114</v>
      </c>
      <c r="U184">
        <f t="shared" si="16"/>
        <v>46</v>
      </c>
      <c r="V184">
        <f t="shared" si="16"/>
        <v>98</v>
      </c>
      <c r="W184" s="5">
        <f t="shared" si="14"/>
        <v>878</v>
      </c>
      <c r="X184" s="9" t="str">
        <f t="shared" si="15"/>
        <v>a878</v>
      </c>
    </row>
    <row r="185" spans="1:24" x14ac:dyDescent="0.2">
      <c r="A185" s="9" t="s">
        <v>425</v>
      </c>
      <c r="B185" s="10">
        <v>1</v>
      </c>
      <c r="C185" s="27">
        <v>4</v>
      </c>
      <c r="D185" s="21"/>
      <c r="E185" s="30">
        <v>45194</v>
      </c>
      <c r="F185" s="23" t="s">
        <v>363</v>
      </c>
      <c r="G185" s="26" t="s">
        <v>62</v>
      </c>
      <c r="H185" s="31">
        <v>0.4</v>
      </c>
      <c r="I185" s="26" t="s">
        <v>107</v>
      </c>
      <c r="J185" s="26" t="s">
        <v>7</v>
      </c>
      <c r="K185" s="26" t="s">
        <v>9</v>
      </c>
      <c r="L185" s="25">
        <f t="shared" si="13"/>
        <v>670</v>
      </c>
      <c r="M185" s="4" t="str">
        <f>IF(Table3[[#This Row],[Afrondingsdatum YB]]="N/A","-",Table3[[#This Row],[Afrondingsdatum YB]]-Table3[[#This Row],[StartDatum]])</f>
        <v>-</v>
      </c>
      <c r="N185" s="4"/>
      <c r="O185">
        <f t="shared" si="17"/>
        <v>115</v>
      </c>
      <c r="P185">
        <f t="shared" si="16"/>
        <v>97</v>
      </c>
      <c r="Q185">
        <f t="shared" si="16"/>
        <v>114</v>
      </c>
      <c r="R185">
        <f t="shared" si="16"/>
        <v>97</v>
      </c>
      <c r="S185">
        <f t="shared" si="16"/>
        <v>46</v>
      </c>
      <c r="T185">
        <f t="shared" si="16"/>
        <v>100</v>
      </c>
      <c r="U185">
        <f t="shared" si="16"/>
        <v>101</v>
      </c>
      <c r="V185">
        <f t="shared" si="16"/>
        <v>46</v>
      </c>
      <c r="W185" s="5">
        <f t="shared" si="14"/>
        <v>823</v>
      </c>
      <c r="X185" s="9" t="str">
        <f t="shared" si="15"/>
        <v>a823</v>
      </c>
    </row>
    <row r="186" spans="1:24" x14ac:dyDescent="0.2">
      <c r="A186" s="9" t="s">
        <v>425</v>
      </c>
      <c r="B186" s="10">
        <v>1</v>
      </c>
      <c r="C186" s="27">
        <v>4</v>
      </c>
      <c r="D186" s="21"/>
      <c r="E186" s="28">
        <v>45194</v>
      </c>
      <c r="F186" s="18" t="s">
        <v>362</v>
      </c>
      <c r="G186" s="20" t="s">
        <v>131</v>
      </c>
      <c r="H186" s="29">
        <v>0</v>
      </c>
      <c r="I186" s="21" t="s">
        <v>8</v>
      </c>
      <c r="J186" s="21" t="s">
        <v>7</v>
      </c>
      <c r="K186" s="21" t="s">
        <v>9</v>
      </c>
      <c r="L186" s="20">
        <f t="shared" si="13"/>
        <v>675</v>
      </c>
      <c r="M186" s="4" t="str">
        <f>IF(Table3[[#This Row],[Afrondingsdatum YB]]="N/A","-",Table3[[#This Row],[Afrondingsdatum YB]]-Table3[[#This Row],[StartDatum]])</f>
        <v>-</v>
      </c>
      <c r="N186" s="4"/>
      <c r="O186">
        <f t="shared" si="17"/>
        <v>115</v>
      </c>
      <c r="P186">
        <f t="shared" si="16"/>
        <v>97</v>
      </c>
      <c r="Q186">
        <f t="shared" si="16"/>
        <v>114</v>
      </c>
      <c r="R186">
        <f t="shared" si="16"/>
        <v>97</v>
      </c>
      <c r="S186">
        <f t="shared" si="16"/>
        <v>104</v>
      </c>
      <c r="T186">
        <f t="shared" si="16"/>
        <v>46</v>
      </c>
      <c r="U186">
        <f t="shared" si="16"/>
        <v>102</v>
      </c>
      <c r="V186">
        <f t="shared" si="16"/>
        <v>97</v>
      </c>
      <c r="W186" s="5">
        <f t="shared" si="14"/>
        <v>879</v>
      </c>
      <c r="X186" s="9" t="str">
        <f t="shared" si="15"/>
        <v>a879</v>
      </c>
    </row>
    <row r="187" spans="1:24" x14ac:dyDescent="0.2">
      <c r="A187" s="9" t="s">
        <v>425</v>
      </c>
      <c r="B187" s="10">
        <v>1</v>
      </c>
      <c r="C187" s="27">
        <v>4</v>
      </c>
      <c r="D187" s="21"/>
      <c r="E187" s="30">
        <v>45194</v>
      </c>
      <c r="F187" s="23" t="s">
        <v>364</v>
      </c>
      <c r="G187" s="26" t="s">
        <v>108</v>
      </c>
      <c r="H187" s="31">
        <v>0</v>
      </c>
      <c r="I187" s="26" t="s">
        <v>8</v>
      </c>
      <c r="J187" s="26" t="s">
        <v>7</v>
      </c>
      <c r="K187" s="26" t="s">
        <v>9</v>
      </c>
      <c r="L187" s="25">
        <f t="shared" si="13"/>
        <v>760</v>
      </c>
      <c r="M187" s="4" t="str">
        <f>IF(Table3[[#This Row],[Afrondingsdatum YB]]="N/A","-",Table3[[#This Row],[Afrondingsdatum YB]]-Table3[[#This Row],[StartDatum]])</f>
        <v>-</v>
      </c>
      <c r="N187" s="4"/>
      <c r="O187">
        <f t="shared" si="17"/>
        <v>115</v>
      </c>
      <c r="P187">
        <f t="shared" si="16"/>
        <v>97</v>
      </c>
      <c r="Q187">
        <f t="shared" si="16"/>
        <v>118</v>
      </c>
      <c r="R187">
        <f t="shared" si="16"/>
        <v>101</v>
      </c>
      <c r="S187">
        <f t="shared" si="16"/>
        <v>114</v>
      </c>
      <c r="T187">
        <f t="shared" si="16"/>
        <v>105</v>
      </c>
      <c r="U187">
        <f t="shared" si="16"/>
        <v>110</v>
      </c>
      <c r="V187">
        <f t="shared" si="16"/>
        <v>105</v>
      </c>
      <c r="W187" s="5">
        <f t="shared" si="14"/>
        <v>977</v>
      </c>
      <c r="X187" s="9" t="str">
        <f t="shared" si="15"/>
        <v>a977</v>
      </c>
    </row>
    <row r="188" spans="1:24" x14ac:dyDescent="0.2">
      <c r="A188" s="9" t="s">
        <v>425</v>
      </c>
      <c r="B188" s="10">
        <v>1</v>
      </c>
      <c r="C188" s="27">
        <v>4</v>
      </c>
      <c r="D188" s="21"/>
      <c r="E188" s="28">
        <v>45194</v>
      </c>
      <c r="F188" s="18" t="s">
        <v>364</v>
      </c>
      <c r="G188" s="21" t="s">
        <v>109</v>
      </c>
      <c r="H188" s="29">
        <v>0</v>
      </c>
      <c r="I188" s="21" t="s">
        <v>8</v>
      </c>
      <c r="J188" s="21" t="s">
        <v>7</v>
      </c>
      <c r="K188" s="21" t="s">
        <v>9</v>
      </c>
      <c r="L188" s="20">
        <f t="shared" si="13"/>
        <v>696</v>
      </c>
      <c r="M188" s="4" t="str">
        <f>IF(Table3[[#This Row],[Afrondingsdatum YB]]="N/A","-",Table3[[#This Row],[Afrondingsdatum YB]]-Table3[[#This Row],[StartDatum]])</f>
        <v>-</v>
      </c>
      <c r="N188" s="4"/>
      <c r="O188">
        <f t="shared" si="17"/>
        <v>115</v>
      </c>
      <c r="P188">
        <f t="shared" si="16"/>
        <v>101</v>
      </c>
      <c r="Q188">
        <f t="shared" si="16"/>
        <v>109</v>
      </c>
      <c r="R188">
        <f t="shared" si="16"/>
        <v>46</v>
      </c>
      <c r="S188">
        <f t="shared" si="16"/>
        <v>118</v>
      </c>
      <c r="T188">
        <f t="shared" si="16"/>
        <v>97</v>
      </c>
      <c r="U188">
        <f t="shared" si="16"/>
        <v>110</v>
      </c>
      <c r="V188">
        <f t="shared" si="16"/>
        <v>46</v>
      </c>
      <c r="W188" s="5">
        <f t="shared" si="14"/>
        <v>875</v>
      </c>
      <c r="X188" s="9" t="str">
        <f t="shared" si="15"/>
        <v>e875</v>
      </c>
    </row>
    <row r="189" spans="1:24" x14ac:dyDescent="0.2">
      <c r="A189" s="9" t="s">
        <v>425</v>
      </c>
      <c r="B189" s="10">
        <v>1</v>
      </c>
      <c r="C189" s="27">
        <v>4</v>
      </c>
      <c r="D189" s="21"/>
      <c r="E189" s="30">
        <v>45194</v>
      </c>
      <c r="F189" s="23" t="s">
        <v>362</v>
      </c>
      <c r="G189" s="26" t="s">
        <v>63</v>
      </c>
      <c r="H189" s="31">
        <v>0</v>
      </c>
      <c r="I189" s="26" t="s">
        <v>8</v>
      </c>
      <c r="J189" s="26" t="s">
        <v>7</v>
      </c>
      <c r="K189" s="26" t="s">
        <v>9</v>
      </c>
      <c r="L189" s="25">
        <f t="shared" si="13"/>
        <v>673</v>
      </c>
      <c r="M189" s="4" t="str">
        <f>IF(Table3[[#This Row],[Afrondingsdatum YB]]="N/A","-",Table3[[#This Row],[Afrondingsdatum YB]]-Table3[[#This Row],[StartDatum]])</f>
        <v>-</v>
      </c>
      <c r="N189" s="4"/>
      <c r="O189">
        <f t="shared" si="17"/>
        <v>83</v>
      </c>
      <c r="P189">
        <f t="shared" si="16"/>
        <v>121</v>
      </c>
      <c r="Q189">
        <f t="shared" si="16"/>
        <v>98</v>
      </c>
      <c r="R189">
        <f t="shared" si="16"/>
        <v>114</v>
      </c>
      <c r="S189">
        <f t="shared" si="16"/>
        <v>101</v>
      </c>
      <c r="T189">
        <f t="shared" si="16"/>
        <v>110</v>
      </c>
      <c r="U189">
        <f t="shared" si="16"/>
        <v>46</v>
      </c>
      <c r="V189">
        <f t="shared" si="16"/>
        <v>104</v>
      </c>
      <c r="W189" s="5">
        <f t="shared" si="14"/>
        <v>827</v>
      </c>
      <c r="X189" s="9" t="str">
        <f t="shared" si="15"/>
        <v>y827</v>
      </c>
    </row>
    <row r="190" spans="1:24" x14ac:dyDescent="0.2">
      <c r="A190" s="9" t="s">
        <v>425</v>
      </c>
      <c r="B190" s="10">
        <v>1</v>
      </c>
      <c r="C190" s="27">
        <v>4</v>
      </c>
      <c r="D190" s="21"/>
      <c r="E190" s="28">
        <v>45194</v>
      </c>
      <c r="F190" s="18" t="s">
        <v>363</v>
      </c>
      <c r="G190" s="21" t="s">
        <v>64</v>
      </c>
      <c r="H190" s="29">
        <v>0</v>
      </c>
      <c r="I190" s="21" t="s">
        <v>8</v>
      </c>
      <c r="J190" s="21" t="s">
        <v>7</v>
      </c>
      <c r="K190" s="21" t="s">
        <v>9</v>
      </c>
      <c r="L190" s="20">
        <f t="shared" si="13"/>
        <v>709</v>
      </c>
      <c r="M190" s="4" t="str">
        <f>IF(Table3[[#This Row],[Afrondingsdatum YB]]="N/A","-",Table3[[#This Row],[Afrondingsdatum YB]]-Table3[[#This Row],[StartDatum]])</f>
        <v>-</v>
      </c>
      <c r="N190" s="4"/>
      <c r="O190">
        <f t="shared" si="17"/>
        <v>116</v>
      </c>
      <c r="P190">
        <f t="shared" si="16"/>
        <v>101</v>
      </c>
      <c r="Q190">
        <f t="shared" si="16"/>
        <v>117</v>
      </c>
      <c r="R190">
        <f t="shared" si="16"/>
        <v>110</v>
      </c>
      <c r="S190">
        <f t="shared" si="16"/>
        <v>46</v>
      </c>
      <c r="T190">
        <f t="shared" si="16"/>
        <v>114</v>
      </c>
      <c r="U190">
        <f t="shared" si="16"/>
        <v>105</v>
      </c>
      <c r="V190">
        <f t="shared" si="16"/>
        <v>110</v>
      </c>
      <c r="W190" s="5">
        <f t="shared" si="14"/>
        <v>920</v>
      </c>
      <c r="X190" s="9" t="str">
        <f t="shared" si="15"/>
        <v>e920</v>
      </c>
    </row>
    <row r="191" spans="1:24" x14ac:dyDescent="0.2">
      <c r="A191" s="9" t="s">
        <v>425</v>
      </c>
      <c r="B191" s="10">
        <v>1</v>
      </c>
      <c r="C191" s="27">
        <v>4</v>
      </c>
      <c r="D191" s="21"/>
      <c r="E191" s="30">
        <v>45194</v>
      </c>
      <c r="F191" s="23" t="s">
        <v>364</v>
      </c>
      <c r="G191" s="26" t="s">
        <v>65</v>
      </c>
      <c r="H191" s="31">
        <v>0</v>
      </c>
      <c r="I191" s="26" t="s">
        <v>8</v>
      </c>
      <c r="J191" s="26" t="s">
        <v>7</v>
      </c>
      <c r="K191" s="26" t="s">
        <v>9</v>
      </c>
      <c r="L191" s="25">
        <f t="shared" si="13"/>
        <v>711</v>
      </c>
      <c r="M191" s="4" t="str">
        <f>IF(Table3[[#This Row],[Afrondingsdatum YB]]="N/A","-",Table3[[#This Row],[Afrondingsdatum YB]]-Table3[[#This Row],[StartDatum]])</f>
        <v>-</v>
      </c>
      <c r="N191" s="4"/>
      <c r="O191">
        <f t="shared" si="17"/>
        <v>119</v>
      </c>
      <c r="P191">
        <f t="shared" si="16"/>
        <v>101</v>
      </c>
      <c r="Q191">
        <f t="shared" si="16"/>
        <v>115</v>
      </c>
      <c r="R191">
        <f t="shared" si="16"/>
        <v>108</v>
      </c>
      <c r="S191">
        <f t="shared" si="16"/>
        <v>101</v>
      </c>
      <c r="T191">
        <f t="shared" si="16"/>
        <v>121</v>
      </c>
      <c r="U191">
        <f t="shared" si="16"/>
        <v>46</v>
      </c>
      <c r="V191">
        <f t="shared" si="16"/>
        <v>99</v>
      </c>
      <c r="W191" s="5">
        <f t="shared" si="14"/>
        <v>909</v>
      </c>
      <c r="X191" s="9" t="str">
        <f t="shared" si="15"/>
        <v>e909</v>
      </c>
    </row>
    <row r="192" spans="1:24" x14ac:dyDescent="0.2">
      <c r="A192" s="9" t="s">
        <v>425</v>
      </c>
      <c r="B192" s="10">
        <v>1</v>
      </c>
      <c r="C192" s="27">
        <v>4</v>
      </c>
      <c r="D192" s="21"/>
      <c r="E192" s="28">
        <v>45194</v>
      </c>
      <c r="F192" s="18" t="s">
        <v>364</v>
      </c>
      <c r="G192" s="21" t="s">
        <v>66</v>
      </c>
      <c r="H192" s="29">
        <v>0</v>
      </c>
      <c r="I192" s="21" t="s">
        <v>8</v>
      </c>
      <c r="J192" s="21" t="s">
        <v>7</v>
      </c>
      <c r="K192" s="21" t="s">
        <v>9</v>
      </c>
      <c r="L192" s="20">
        <f t="shared" si="13"/>
        <v>697</v>
      </c>
      <c r="M192" s="4" t="str">
        <f>IF(Table3[[#This Row],[Afrondingsdatum YB]]="N/A","-",Table3[[#This Row],[Afrondingsdatum YB]]-Table3[[#This Row],[StartDatum]])</f>
        <v>-</v>
      </c>
      <c r="N192" s="4"/>
      <c r="O192">
        <f t="shared" si="17"/>
        <v>121</v>
      </c>
      <c r="P192">
        <f t="shared" si="16"/>
        <v>97</v>
      </c>
      <c r="Q192">
        <f t="shared" si="16"/>
        <v>115</v>
      </c>
      <c r="R192">
        <f t="shared" si="16"/>
        <v>105</v>
      </c>
      <c r="S192">
        <f t="shared" si="16"/>
        <v>110</v>
      </c>
      <c r="T192">
        <f t="shared" si="16"/>
        <v>46</v>
      </c>
      <c r="U192">
        <f t="shared" si="16"/>
        <v>103</v>
      </c>
      <c r="V192">
        <f t="shared" si="16"/>
        <v>111</v>
      </c>
      <c r="W192" s="5">
        <f t="shared" si="14"/>
        <v>911</v>
      </c>
      <c r="X192" s="9" t="str">
        <f t="shared" si="15"/>
        <v>a911</v>
      </c>
    </row>
    <row r="193" spans="1:24" x14ac:dyDescent="0.2">
      <c r="A193" s="9" t="s">
        <v>425</v>
      </c>
      <c r="B193" s="10">
        <v>1</v>
      </c>
      <c r="C193" s="27">
        <v>4</v>
      </c>
      <c r="D193" s="21"/>
      <c r="E193" s="30">
        <v>45194</v>
      </c>
      <c r="F193" s="23" t="s">
        <v>364</v>
      </c>
      <c r="G193" s="26" t="s">
        <v>67</v>
      </c>
      <c r="H193" s="31">
        <v>0.08</v>
      </c>
      <c r="I193" s="26" t="s">
        <v>76</v>
      </c>
      <c r="J193" s="26" t="s">
        <v>7</v>
      </c>
      <c r="K193" s="26" t="s">
        <v>9</v>
      </c>
      <c r="L193" s="25">
        <f t="shared" si="13"/>
        <v>764</v>
      </c>
      <c r="M193" s="4" t="str">
        <f>IF(Table3[[#This Row],[Afrondingsdatum YB]]="N/A","-",Table3[[#This Row],[Afrondingsdatum YB]]-Table3[[#This Row],[StartDatum]])</f>
        <v>-</v>
      </c>
      <c r="N193" s="4"/>
      <c r="O193">
        <f t="shared" si="17"/>
        <v>121</v>
      </c>
      <c r="P193">
        <f t="shared" si="17"/>
        <v>97</v>
      </c>
      <c r="Q193">
        <f t="shared" si="17"/>
        <v>115</v>
      </c>
      <c r="R193">
        <f t="shared" si="17"/>
        <v>115</v>
      </c>
      <c r="S193">
        <f t="shared" si="17"/>
        <v>105</v>
      </c>
      <c r="T193">
        <f t="shared" si="17"/>
        <v>110</v>
      </c>
      <c r="U193">
        <f t="shared" si="17"/>
        <v>101</v>
      </c>
      <c r="V193">
        <f t="shared" si="17"/>
        <v>46</v>
      </c>
      <c r="W193" s="5">
        <f t="shared" si="14"/>
        <v>905</v>
      </c>
      <c r="X193" s="9" t="str">
        <f t="shared" si="15"/>
        <v>a905</v>
      </c>
    </row>
    <row r="194" spans="1:24" x14ac:dyDescent="0.2">
      <c r="A194" s="9" t="s">
        <v>425</v>
      </c>
      <c r="B194" s="10">
        <v>1</v>
      </c>
      <c r="C194" s="27">
        <v>4</v>
      </c>
      <c r="D194" s="21"/>
      <c r="E194" s="28">
        <v>45194</v>
      </c>
      <c r="F194" s="18" t="s">
        <v>363</v>
      </c>
      <c r="G194" s="21" t="s">
        <v>68</v>
      </c>
      <c r="H194" s="29">
        <v>0.15</v>
      </c>
      <c r="I194" s="21" t="s">
        <v>72</v>
      </c>
      <c r="J194" s="21" t="s">
        <v>7</v>
      </c>
      <c r="K194" s="21" t="s">
        <v>9</v>
      </c>
      <c r="L194" s="20">
        <f t="shared" ref="L194:L257" si="18">SUM(O194:U194)</f>
        <v>721</v>
      </c>
      <c r="M194" s="4" t="str">
        <f>IF(Table3[[#This Row],[Afrondingsdatum YB]]="N/A","-",Table3[[#This Row],[Afrondingsdatum YB]]-Table3[[#This Row],[StartDatum]])</f>
        <v>-</v>
      </c>
      <c r="N194" s="4"/>
      <c r="O194">
        <f t="shared" si="17"/>
        <v>121</v>
      </c>
      <c r="P194">
        <f t="shared" si="17"/>
        <v>111</v>
      </c>
      <c r="Q194">
        <f t="shared" si="17"/>
        <v>117</v>
      </c>
      <c r="R194">
        <f t="shared" si="17"/>
        <v>114</v>
      </c>
      <c r="S194">
        <f t="shared" si="17"/>
        <v>105</v>
      </c>
      <c r="T194">
        <f t="shared" si="17"/>
        <v>46</v>
      </c>
      <c r="U194">
        <f t="shared" si="17"/>
        <v>107</v>
      </c>
      <c r="V194">
        <f t="shared" si="17"/>
        <v>101</v>
      </c>
      <c r="W194" s="5">
        <f t="shared" si="14"/>
        <v>915</v>
      </c>
      <c r="X194" s="9" t="str">
        <f t="shared" si="15"/>
        <v>o915</v>
      </c>
    </row>
    <row r="195" spans="1:24" x14ac:dyDescent="0.2">
      <c r="A195" s="9" t="s">
        <v>425</v>
      </c>
      <c r="B195" s="9">
        <v>1</v>
      </c>
      <c r="C195" s="22">
        <v>5</v>
      </c>
      <c r="D195" s="25"/>
      <c r="E195" s="23">
        <v>45201</v>
      </c>
      <c r="F195" s="23" t="s">
        <v>363</v>
      </c>
      <c r="G195" s="25" t="s">
        <v>10</v>
      </c>
      <c r="H195" s="24">
        <v>1</v>
      </c>
      <c r="I195" s="25" t="s">
        <v>110</v>
      </c>
      <c r="J195" s="32">
        <v>45197</v>
      </c>
      <c r="K195" s="24">
        <v>0.98</v>
      </c>
      <c r="L195" s="25">
        <f t="shared" si="18"/>
        <v>662</v>
      </c>
      <c r="M195" s="4">
        <f>IF(Table3[[#This Row],[Afrondingsdatum YB]]="N/A","-",Table3[[#This Row],[Afrondingsdatum YB]]-Table3[[#This Row],[StartDatum]])</f>
        <v>45197</v>
      </c>
      <c r="N195" s="4"/>
      <c r="O195">
        <f t="shared" si="17"/>
        <v>97</v>
      </c>
      <c r="P195">
        <f t="shared" si="17"/>
        <v>100</v>
      </c>
      <c r="Q195">
        <f t="shared" si="17"/>
        <v>97</v>
      </c>
      <c r="R195">
        <f t="shared" si="17"/>
        <v>109</v>
      </c>
      <c r="S195">
        <f t="shared" si="17"/>
        <v>46</v>
      </c>
      <c r="T195">
        <f t="shared" si="17"/>
        <v>97</v>
      </c>
      <c r="U195">
        <f t="shared" si="17"/>
        <v>116</v>
      </c>
      <c r="V195">
        <f t="shared" si="17"/>
        <v>116</v>
      </c>
      <c r="W195" s="5">
        <f t="shared" ref="W195:W258" si="19">ROUND((O195*O$1+P195/P$1+Q195*Q$1+R195/R$1)+SUM(S195:V195),0)</f>
        <v>840</v>
      </c>
      <c r="X195" s="9" t="str">
        <f t="shared" ref="X195:X258" si="20">MID(G195,2,1)&amp;TEXT(W195,"###")</f>
        <v>d840</v>
      </c>
    </row>
    <row r="196" spans="1:24" x14ac:dyDescent="0.2">
      <c r="A196" s="9" t="s">
        <v>425</v>
      </c>
      <c r="B196" s="9">
        <v>1</v>
      </c>
      <c r="C196" s="22">
        <v>5</v>
      </c>
      <c r="D196" s="25"/>
      <c r="E196" s="18">
        <v>45201</v>
      </c>
      <c r="F196" s="18" t="s">
        <v>362</v>
      </c>
      <c r="G196" s="20" t="s">
        <v>11</v>
      </c>
      <c r="H196" s="19">
        <v>0.03</v>
      </c>
      <c r="I196" s="20" t="s">
        <v>111</v>
      </c>
      <c r="J196" s="20" t="s">
        <v>7</v>
      </c>
      <c r="K196" s="20" t="s">
        <v>9</v>
      </c>
      <c r="L196" s="20">
        <f t="shared" si="18"/>
        <v>641</v>
      </c>
      <c r="M196" s="4" t="str">
        <f>IF(Table3[[#This Row],[Afrondingsdatum YB]]="N/A","-",Table3[[#This Row],[Afrondingsdatum YB]]-Table3[[#This Row],[StartDatum]])</f>
        <v>-</v>
      </c>
      <c r="N196" s="4"/>
      <c r="O196">
        <f t="shared" si="17"/>
        <v>65</v>
      </c>
      <c r="P196">
        <f t="shared" si="17"/>
        <v>100</v>
      </c>
      <c r="Q196">
        <f t="shared" si="17"/>
        <v>105</v>
      </c>
      <c r="R196">
        <f t="shared" si="17"/>
        <v>108</v>
      </c>
      <c r="S196">
        <f t="shared" si="17"/>
        <v>46</v>
      </c>
      <c r="T196">
        <f t="shared" si="17"/>
        <v>106</v>
      </c>
      <c r="U196">
        <f t="shared" si="17"/>
        <v>111</v>
      </c>
      <c r="V196">
        <f t="shared" si="17"/>
        <v>117</v>
      </c>
      <c r="W196" s="5">
        <f t="shared" si="19"/>
        <v>837</v>
      </c>
      <c r="X196" s="9" t="str">
        <f t="shared" si="20"/>
        <v>d837</v>
      </c>
    </row>
    <row r="197" spans="1:24" x14ac:dyDescent="0.2">
      <c r="A197" s="9" t="s">
        <v>425</v>
      </c>
      <c r="B197" s="9">
        <v>1</v>
      </c>
      <c r="C197" s="22">
        <v>5</v>
      </c>
      <c r="D197" s="25"/>
      <c r="E197" s="23">
        <v>45201</v>
      </c>
      <c r="F197" s="23" t="s">
        <v>364</v>
      </c>
      <c r="G197" s="25" t="s">
        <v>12</v>
      </c>
      <c r="H197" s="24">
        <v>0.15</v>
      </c>
      <c r="I197" s="25" t="s">
        <v>112</v>
      </c>
      <c r="J197" s="25" t="s">
        <v>7</v>
      </c>
      <c r="K197" s="25" t="s">
        <v>9</v>
      </c>
      <c r="L197" s="25">
        <f t="shared" si="18"/>
        <v>677</v>
      </c>
      <c r="M197" s="4" t="str">
        <f>IF(Table3[[#This Row],[Afrondingsdatum YB]]="N/A","-",Table3[[#This Row],[Afrondingsdatum YB]]-Table3[[#This Row],[StartDatum]])</f>
        <v>-</v>
      </c>
      <c r="N197" s="4"/>
      <c r="O197">
        <f t="shared" si="17"/>
        <v>97</v>
      </c>
      <c r="P197">
        <f t="shared" si="17"/>
        <v>103</v>
      </c>
      <c r="Q197">
        <f t="shared" si="17"/>
        <v>104</v>
      </c>
      <c r="R197">
        <f t="shared" si="17"/>
        <v>105</v>
      </c>
      <c r="S197">
        <f t="shared" si="17"/>
        <v>108</v>
      </c>
      <c r="T197">
        <f t="shared" si="17"/>
        <v>46</v>
      </c>
      <c r="U197">
        <f t="shared" si="17"/>
        <v>114</v>
      </c>
      <c r="V197">
        <f t="shared" si="17"/>
        <v>101</v>
      </c>
      <c r="W197" s="5">
        <f t="shared" si="19"/>
        <v>856</v>
      </c>
      <c r="X197" s="9" t="str">
        <f t="shared" si="20"/>
        <v>g856</v>
      </c>
    </row>
    <row r="198" spans="1:24" x14ac:dyDescent="0.2">
      <c r="A198" s="9" t="s">
        <v>425</v>
      </c>
      <c r="B198" s="9">
        <v>1</v>
      </c>
      <c r="C198" s="22">
        <v>5</v>
      </c>
      <c r="D198" s="25"/>
      <c r="E198" s="18">
        <v>45201</v>
      </c>
      <c r="F198" s="18" t="s">
        <v>362</v>
      </c>
      <c r="G198" s="20" t="s">
        <v>113</v>
      </c>
      <c r="H198" s="19">
        <v>0</v>
      </c>
      <c r="I198" s="20" t="s">
        <v>8</v>
      </c>
      <c r="J198" s="20" t="s">
        <v>7</v>
      </c>
      <c r="K198" s="20" t="s">
        <v>9</v>
      </c>
      <c r="L198" s="20">
        <f t="shared" si="18"/>
        <v>670</v>
      </c>
      <c r="M198" s="4" t="str">
        <f>IF(Table3[[#This Row],[Afrondingsdatum YB]]="N/A","-",Table3[[#This Row],[Afrondingsdatum YB]]-Table3[[#This Row],[StartDatum]])</f>
        <v>-</v>
      </c>
      <c r="N198" s="4"/>
      <c r="O198">
        <f t="shared" si="17"/>
        <v>97</v>
      </c>
      <c r="P198">
        <f t="shared" si="17"/>
        <v>109</v>
      </c>
      <c r="Q198">
        <f t="shared" si="17"/>
        <v>105</v>
      </c>
      <c r="R198">
        <f t="shared" si="17"/>
        <v>110</v>
      </c>
      <c r="S198">
        <f t="shared" si="17"/>
        <v>46</v>
      </c>
      <c r="T198">
        <f t="shared" si="17"/>
        <v>99</v>
      </c>
      <c r="U198">
        <f t="shared" si="17"/>
        <v>104</v>
      </c>
      <c r="V198">
        <f t="shared" si="17"/>
        <v>101</v>
      </c>
      <c r="W198" s="5">
        <f t="shared" si="19"/>
        <v>844</v>
      </c>
      <c r="X198" s="9" t="str">
        <f t="shared" si="20"/>
        <v>m844</v>
      </c>
    </row>
    <row r="199" spans="1:24" x14ac:dyDescent="0.2">
      <c r="A199" s="9" t="s">
        <v>425</v>
      </c>
      <c r="B199" s="9">
        <v>1</v>
      </c>
      <c r="C199" s="22">
        <v>5</v>
      </c>
      <c r="D199" s="25"/>
      <c r="E199" s="23">
        <v>45201</v>
      </c>
      <c r="F199" s="23" t="s">
        <v>364</v>
      </c>
      <c r="G199" s="25" t="s">
        <v>13</v>
      </c>
      <c r="H199" s="24">
        <v>0.08</v>
      </c>
      <c r="I199" s="25" t="s">
        <v>76</v>
      </c>
      <c r="J199" s="25" t="s">
        <v>7</v>
      </c>
      <c r="K199" s="25" t="s">
        <v>9</v>
      </c>
      <c r="L199" s="25">
        <f t="shared" si="18"/>
        <v>669</v>
      </c>
      <c r="M199" s="4" t="str">
        <f>IF(Table3[[#This Row],[Afrondingsdatum YB]]="N/A","-",Table3[[#This Row],[Afrondingsdatum YB]]-Table3[[#This Row],[StartDatum]])</f>
        <v>-</v>
      </c>
      <c r="N199" s="4"/>
      <c r="O199">
        <f t="shared" si="17"/>
        <v>97</v>
      </c>
      <c r="P199">
        <f t="shared" si="17"/>
        <v>109</v>
      </c>
      <c r="Q199">
        <f t="shared" si="17"/>
        <v>105</v>
      </c>
      <c r="R199">
        <f t="shared" si="17"/>
        <v>110</v>
      </c>
      <c r="S199">
        <f t="shared" si="17"/>
        <v>101</v>
      </c>
      <c r="T199">
        <f t="shared" si="17"/>
        <v>46</v>
      </c>
      <c r="U199">
        <f t="shared" si="17"/>
        <v>101</v>
      </c>
      <c r="V199">
        <f t="shared" si="17"/>
        <v>108</v>
      </c>
      <c r="W199" s="5">
        <f t="shared" si="19"/>
        <v>850</v>
      </c>
      <c r="X199" s="9" t="str">
        <f t="shared" si="20"/>
        <v>m850</v>
      </c>
    </row>
    <row r="200" spans="1:24" x14ac:dyDescent="0.2">
      <c r="A200" s="9" t="s">
        <v>425</v>
      </c>
      <c r="B200" s="9">
        <v>1</v>
      </c>
      <c r="C200" s="22">
        <v>5</v>
      </c>
      <c r="D200" s="25"/>
      <c r="E200" s="18">
        <v>45201</v>
      </c>
      <c r="F200" s="18" t="s">
        <v>363</v>
      </c>
      <c r="G200" s="20" t="s">
        <v>14</v>
      </c>
      <c r="H200" s="19">
        <v>0.11</v>
      </c>
      <c r="I200" s="20" t="s">
        <v>83</v>
      </c>
      <c r="J200" s="20" t="s">
        <v>7</v>
      </c>
      <c r="K200" s="20" t="s">
        <v>9</v>
      </c>
      <c r="L200" s="20">
        <f t="shared" si="18"/>
        <v>676</v>
      </c>
      <c r="M200" s="4" t="str">
        <f>IF(Table3[[#This Row],[Afrondingsdatum YB]]="N/A","-",Table3[[#This Row],[Afrondingsdatum YB]]-Table3[[#This Row],[StartDatum]])</f>
        <v>-</v>
      </c>
      <c r="N200" s="4"/>
      <c r="O200">
        <f t="shared" si="17"/>
        <v>97</v>
      </c>
      <c r="P200">
        <f t="shared" si="17"/>
        <v>110</v>
      </c>
      <c r="Q200">
        <f t="shared" si="17"/>
        <v>103</v>
      </c>
      <c r="R200">
        <f t="shared" si="17"/>
        <v>101</v>
      </c>
      <c r="S200">
        <f t="shared" si="17"/>
        <v>108</v>
      </c>
      <c r="T200">
        <f t="shared" si="17"/>
        <v>111</v>
      </c>
      <c r="U200">
        <f t="shared" si="17"/>
        <v>46</v>
      </c>
      <c r="V200">
        <f t="shared" si="17"/>
        <v>115</v>
      </c>
      <c r="W200" s="5">
        <f t="shared" si="19"/>
        <v>866</v>
      </c>
      <c r="X200" s="9" t="str">
        <f t="shared" si="20"/>
        <v>n866</v>
      </c>
    </row>
    <row r="201" spans="1:24" x14ac:dyDescent="0.2">
      <c r="A201" s="9" t="s">
        <v>425</v>
      </c>
      <c r="B201" s="9">
        <v>1</v>
      </c>
      <c r="C201" s="22">
        <v>5</v>
      </c>
      <c r="D201" s="25"/>
      <c r="E201" s="23">
        <v>45201</v>
      </c>
      <c r="F201" s="23" t="s">
        <v>362</v>
      </c>
      <c r="G201" s="25" t="s">
        <v>15</v>
      </c>
      <c r="H201" s="24">
        <v>0</v>
      </c>
      <c r="I201" s="25" t="s">
        <v>114</v>
      </c>
      <c r="J201" s="25" t="s">
        <v>7</v>
      </c>
      <c r="K201" s="25" t="s">
        <v>9</v>
      </c>
      <c r="L201" s="25">
        <f t="shared" si="18"/>
        <v>755</v>
      </c>
      <c r="M201" s="4" t="str">
        <f>IF(Table3[[#This Row],[Afrondingsdatum YB]]="N/A","-",Table3[[#This Row],[Afrondingsdatum YB]]-Table3[[#This Row],[StartDatum]])</f>
        <v>-</v>
      </c>
      <c r="N201" s="4"/>
      <c r="O201">
        <f t="shared" si="17"/>
        <v>97</v>
      </c>
      <c r="P201">
        <f t="shared" si="17"/>
        <v>115</v>
      </c>
      <c r="Q201">
        <f t="shared" si="17"/>
        <v>104</v>
      </c>
      <c r="R201">
        <f t="shared" si="17"/>
        <v>111</v>
      </c>
      <c r="S201">
        <f t="shared" si="17"/>
        <v>101</v>
      </c>
      <c r="T201">
        <f t="shared" si="17"/>
        <v>116</v>
      </c>
      <c r="U201">
        <f t="shared" si="17"/>
        <v>111</v>
      </c>
      <c r="V201">
        <f t="shared" si="17"/>
        <v>115</v>
      </c>
      <c r="W201" s="5">
        <f t="shared" si="19"/>
        <v>937</v>
      </c>
      <c r="X201" s="9" t="str">
        <f t="shared" si="20"/>
        <v>s937</v>
      </c>
    </row>
    <row r="202" spans="1:24" x14ac:dyDescent="0.2">
      <c r="A202" s="9" t="s">
        <v>425</v>
      </c>
      <c r="B202" s="9">
        <v>1</v>
      </c>
      <c r="C202" s="22">
        <v>5</v>
      </c>
      <c r="D202" s="25"/>
      <c r="E202" s="18">
        <v>45201</v>
      </c>
      <c r="F202" s="18" t="s">
        <v>364</v>
      </c>
      <c r="G202" s="20" t="s">
        <v>16</v>
      </c>
      <c r="H202" s="19">
        <v>0.05</v>
      </c>
      <c r="I202" s="20" t="s">
        <v>91</v>
      </c>
      <c r="J202" s="20" t="s">
        <v>7</v>
      </c>
      <c r="K202" s="20" t="s">
        <v>9</v>
      </c>
      <c r="L202" s="20">
        <f t="shared" si="18"/>
        <v>672</v>
      </c>
      <c r="M202" s="4" t="str">
        <f>IF(Table3[[#This Row],[Afrondingsdatum YB]]="N/A","-",Table3[[#This Row],[Afrondingsdatum YB]]-Table3[[#This Row],[StartDatum]])</f>
        <v>-</v>
      </c>
      <c r="N202" s="4"/>
      <c r="O202">
        <f t="shared" si="17"/>
        <v>97</v>
      </c>
      <c r="P202">
        <f t="shared" si="17"/>
        <v>121</v>
      </c>
      <c r="Q202">
        <f t="shared" si="17"/>
        <v>100</v>
      </c>
      <c r="R202">
        <f t="shared" si="17"/>
        <v>101</v>
      </c>
      <c r="S202">
        <f t="shared" si="17"/>
        <v>110</v>
      </c>
      <c r="T202">
        <f t="shared" si="17"/>
        <v>46</v>
      </c>
      <c r="U202">
        <f t="shared" si="17"/>
        <v>97</v>
      </c>
      <c r="V202">
        <f t="shared" si="17"/>
        <v>110</v>
      </c>
      <c r="W202" s="5">
        <f t="shared" si="19"/>
        <v>846</v>
      </c>
      <c r="X202" s="9" t="str">
        <f t="shared" si="20"/>
        <v>y846</v>
      </c>
    </row>
    <row r="203" spans="1:24" x14ac:dyDescent="0.2">
      <c r="A203" s="9" t="s">
        <v>425</v>
      </c>
      <c r="B203" s="9">
        <v>1</v>
      </c>
      <c r="C203" s="22">
        <v>5</v>
      </c>
      <c r="D203" s="25"/>
      <c r="E203" s="23">
        <v>45201</v>
      </c>
      <c r="F203" s="23" t="s">
        <v>362</v>
      </c>
      <c r="G203" s="25" t="s">
        <v>17</v>
      </c>
      <c r="H203" s="24">
        <v>0</v>
      </c>
      <c r="I203" s="25" t="s">
        <v>8</v>
      </c>
      <c r="J203" s="25" t="s">
        <v>7</v>
      </c>
      <c r="K203" s="25" t="s">
        <v>9</v>
      </c>
      <c r="L203" s="25">
        <f t="shared" si="18"/>
        <v>707</v>
      </c>
      <c r="M203" s="4" t="str">
        <f>IF(Table3[[#This Row],[Afrondingsdatum YB]]="N/A","-",Table3[[#This Row],[Afrondingsdatum YB]]-Table3[[#This Row],[StartDatum]])</f>
        <v>-</v>
      </c>
      <c r="N203" s="4"/>
      <c r="O203">
        <f t="shared" si="17"/>
        <v>98</v>
      </c>
      <c r="P203">
        <f t="shared" si="17"/>
        <v>101</v>
      </c>
      <c r="Q203">
        <f t="shared" si="17"/>
        <v>116</v>
      </c>
      <c r="R203">
        <f t="shared" si="17"/>
        <v>117</v>
      </c>
      <c r="S203">
        <f t="shared" si="17"/>
        <v>108</v>
      </c>
      <c r="T203">
        <f t="shared" si="17"/>
        <v>46</v>
      </c>
      <c r="U203">
        <f t="shared" si="17"/>
        <v>121</v>
      </c>
      <c r="V203">
        <f t="shared" si="17"/>
        <v>117</v>
      </c>
      <c r="W203" s="5">
        <f t="shared" si="19"/>
        <v>918</v>
      </c>
      <c r="X203" s="9" t="str">
        <f t="shared" si="20"/>
        <v>e918</v>
      </c>
    </row>
    <row r="204" spans="1:24" x14ac:dyDescent="0.2">
      <c r="A204" s="9" t="s">
        <v>425</v>
      </c>
      <c r="B204" s="9">
        <v>1</v>
      </c>
      <c r="C204" s="22">
        <v>5</v>
      </c>
      <c r="D204" s="25"/>
      <c r="E204" s="18">
        <v>45201</v>
      </c>
      <c r="F204" s="18" t="s">
        <v>364</v>
      </c>
      <c r="G204" s="20" t="s">
        <v>115</v>
      </c>
      <c r="H204" s="19">
        <v>0</v>
      </c>
      <c r="I204" s="20" t="s">
        <v>8</v>
      </c>
      <c r="J204" s="20" t="s">
        <v>7</v>
      </c>
      <c r="K204" s="20" t="s">
        <v>9</v>
      </c>
      <c r="L204" s="20">
        <f t="shared" si="18"/>
        <v>748</v>
      </c>
      <c r="M204" s="4" t="str">
        <f>IF(Table3[[#This Row],[Afrondingsdatum YB]]="N/A","-",Table3[[#This Row],[Afrondingsdatum YB]]-Table3[[#This Row],[StartDatum]])</f>
        <v>-</v>
      </c>
      <c r="N204" s="4"/>
      <c r="O204">
        <f t="shared" si="17"/>
        <v>98</v>
      </c>
      <c r="P204">
        <f t="shared" si="17"/>
        <v>106</v>
      </c>
      <c r="Q204">
        <f t="shared" si="17"/>
        <v>111</v>
      </c>
      <c r="R204">
        <f t="shared" si="17"/>
        <v>114</v>
      </c>
      <c r="S204">
        <f t="shared" si="17"/>
        <v>110</v>
      </c>
      <c r="T204">
        <f t="shared" si="17"/>
        <v>108</v>
      </c>
      <c r="U204">
        <f t="shared" si="17"/>
        <v>101</v>
      </c>
      <c r="V204">
        <f t="shared" si="17"/>
        <v>118</v>
      </c>
      <c r="W204" s="5">
        <f t="shared" si="19"/>
        <v>950</v>
      </c>
      <c r="X204" s="9" t="str">
        <f t="shared" si="20"/>
        <v>j950</v>
      </c>
    </row>
    <row r="205" spans="1:24" x14ac:dyDescent="0.2">
      <c r="A205" s="9" t="s">
        <v>425</v>
      </c>
      <c r="B205" s="9">
        <v>1</v>
      </c>
      <c r="C205" s="22">
        <v>5</v>
      </c>
      <c r="D205" s="25"/>
      <c r="E205" s="23">
        <v>45201</v>
      </c>
      <c r="F205" s="23" t="s">
        <v>363</v>
      </c>
      <c r="G205" s="25" t="s">
        <v>18</v>
      </c>
      <c r="H205" s="24">
        <v>0.23</v>
      </c>
      <c r="I205" s="25" t="s">
        <v>72</v>
      </c>
      <c r="J205" s="25" t="s">
        <v>7</v>
      </c>
      <c r="K205" s="25" t="s">
        <v>9</v>
      </c>
      <c r="L205" s="25">
        <f t="shared" si="18"/>
        <v>687</v>
      </c>
      <c r="M205" s="4" t="str">
        <f>IF(Table3[[#This Row],[Afrondingsdatum YB]]="N/A","-",Table3[[#This Row],[Afrondingsdatum YB]]-Table3[[#This Row],[StartDatum]])</f>
        <v>-</v>
      </c>
      <c r="N205" s="4"/>
      <c r="O205">
        <f t="shared" si="17"/>
        <v>98</v>
      </c>
      <c r="P205">
        <f t="shared" si="17"/>
        <v>114</v>
      </c>
      <c r="Q205">
        <f t="shared" si="17"/>
        <v>101</v>
      </c>
      <c r="R205">
        <f t="shared" si="17"/>
        <v>116</v>
      </c>
      <c r="S205">
        <f t="shared" si="17"/>
        <v>104</v>
      </c>
      <c r="T205">
        <f t="shared" si="17"/>
        <v>46</v>
      </c>
      <c r="U205">
        <f t="shared" si="17"/>
        <v>108</v>
      </c>
      <c r="V205">
        <f t="shared" si="17"/>
        <v>97</v>
      </c>
      <c r="W205" s="5">
        <f t="shared" si="19"/>
        <v>842</v>
      </c>
      <c r="X205" s="9" t="str">
        <f t="shared" si="20"/>
        <v>r842</v>
      </c>
    </row>
    <row r="206" spans="1:24" x14ac:dyDescent="0.2">
      <c r="A206" s="9" t="s">
        <v>425</v>
      </c>
      <c r="B206" s="9">
        <v>1</v>
      </c>
      <c r="C206" s="22">
        <v>5</v>
      </c>
      <c r="D206" s="25"/>
      <c r="E206" s="18">
        <v>45201</v>
      </c>
      <c r="F206" s="18" t="s">
        <v>364</v>
      </c>
      <c r="G206" s="20" t="s">
        <v>19</v>
      </c>
      <c r="H206" s="19">
        <v>0.37</v>
      </c>
      <c r="I206" s="20" t="s">
        <v>116</v>
      </c>
      <c r="J206" s="20" t="s">
        <v>7</v>
      </c>
      <c r="K206" s="20" t="s">
        <v>9</v>
      </c>
      <c r="L206" s="20">
        <f t="shared" si="18"/>
        <v>733</v>
      </c>
      <c r="M206" s="4" t="str">
        <f>IF(Table3[[#This Row],[Afrondingsdatum YB]]="N/A","-",Table3[[#This Row],[Afrondingsdatum YB]]-Table3[[#This Row],[StartDatum]])</f>
        <v>-</v>
      </c>
      <c r="N206" s="4"/>
      <c r="O206">
        <f t="shared" si="17"/>
        <v>99</v>
      </c>
      <c r="P206">
        <f t="shared" si="17"/>
        <v>104</v>
      </c>
      <c r="Q206">
        <f t="shared" si="17"/>
        <v>97</v>
      </c>
      <c r="R206">
        <f t="shared" si="17"/>
        <v>114</v>
      </c>
      <c r="S206">
        <f t="shared" si="17"/>
        <v>108</v>
      </c>
      <c r="T206">
        <f t="shared" si="17"/>
        <v>101</v>
      </c>
      <c r="U206">
        <f t="shared" si="17"/>
        <v>110</v>
      </c>
      <c r="V206">
        <f t="shared" si="17"/>
        <v>101</v>
      </c>
      <c r="W206" s="5">
        <f t="shared" si="19"/>
        <v>891</v>
      </c>
      <c r="X206" s="9" t="str">
        <f t="shared" si="20"/>
        <v>h891</v>
      </c>
    </row>
    <row r="207" spans="1:24" x14ac:dyDescent="0.2">
      <c r="A207" s="9" t="s">
        <v>425</v>
      </c>
      <c r="B207" s="9">
        <v>1</v>
      </c>
      <c r="C207" s="22">
        <v>5</v>
      </c>
      <c r="D207" s="25"/>
      <c r="E207" s="23">
        <v>45201</v>
      </c>
      <c r="F207" s="23" t="s">
        <v>364</v>
      </c>
      <c r="G207" s="25" t="s">
        <v>20</v>
      </c>
      <c r="H207" s="24">
        <v>0.5</v>
      </c>
      <c r="I207" s="25" t="s">
        <v>117</v>
      </c>
      <c r="J207" s="25" t="s">
        <v>7</v>
      </c>
      <c r="K207" s="25" t="s">
        <v>9</v>
      </c>
      <c r="L207" s="25">
        <f t="shared" si="18"/>
        <v>668</v>
      </c>
      <c r="M207" s="4" t="str">
        <f>IF(Table3[[#This Row],[Afrondingsdatum YB]]="N/A","-",Table3[[#This Row],[Afrondingsdatum YB]]-Table3[[#This Row],[StartDatum]])</f>
        <v>-</v>
      </c>
      <c r="N207" s="4"/>
      <c r="O207">
        <f t="shared" si="17"/>
        <v>99</v>
      </c>
      <c r="P207">
        <f t="shared" si="17"/>
        <v>104</v>
      </c>
      <c r="Q207">
        <f t="shared" si="17"/>
        <v>101</v>
      </c>
      <c r="R207">
        <f t="shared" si="17"/>
        <v>110</v>
      </c>
      <c r="S207">
        <f t="shared" si="17"/>
        <v>111</v>
      </c>
      <c r="T207">
        <f t="shared" si="17"/>
        <v>97</v>
      </c>
      <c r="U207">
        <f t="shared" si="17"/>
        <v>46</v>
      </c>
      <c r="V207">
        <f t="shared" si="17"/>
        <v>118</v>
      </c>
      <c r="W207" s="5">
        <f t="shared" si="19"/>
        <v>854</v>
      </c>
      <c r="X207" s="9" t="str">
        <f t="shared" si="20"/>
        <v>h854</v>
      </c>
    </row>
    <row r="208" spans="1:24" x14ac:dyDescent="0.2">
      <c r="A208" s="9" t="s">
        <v>425</v>
      </c>
      <c r="B208" s="9">
        <v>1</v>
      </c>
      <c r="C208" s="22">
        <v>5</v>
      </c>
      <c r="D208" s="25"/>
      <c r="E208" s="18">
        <v>45201</v>
      </c>
      <c r="F208" s="18" t="s">
        <v>364</v>
      </c>
      <c r="G208" s="20" t="s">
        <v>21</v>
      </c>
      <c r="H208" s="19">
        <v>0.2</v>
      </c>
      <c r="I208" s="20" t="s">
        <v>93</v>
      </c>
      <c r="J208" s="20" t="s">
        <v>7</v>
      </c>
      <c r="K208" s="20" t="s">
        <v>9</v>
      </c>
      <c r="L208" s="20">
        <f t="shared" si="18"/>
        <v>681</v>
      </c>
      <c r="M208" s="4" t="str">
        <f>IF(Table3[[#This Row],[Afrondingsdatum YB]]="N/A","-",Table3[[#This Row],[Afrondingsdatum YB]]-Table3[[#This Row],[StartDatum]])</f>
        <v>-</v>
      </c>
      <c r="N208" s="4"/>
      <c r="O208">
        <f t="shared" si="17"/>
        <v>100</v>
      </c>
      <c r="P208">
        <f t="shared" si="17"/>
        <v>97</v>
      </c>
      <c r="Q208">
        <f t="shared" si="17"/>
        <v>115</v>
      </c>
      <c r="R208">
        <f t="shared" si="17"/>
        <v>116</v>
      </c>
      <c r="S208">
        <f t="shared" si="17"/>
        <v>97</v>
      </c>
      <c r="T208">
        <f t="shared" si="17"/>
        <v>110</v>
      </c>
      <c r="U208">
        <f t="shared" si="17"/>
        <v>46</v>
      </c>
      <c r="V208">
        <f t="shared" si="17"/>
        <v>109</v>
      </c>
      <c r="W208" s="5">
        <f t="shared" si="19"/>
        <v>885</v>
      </c>
      <c r="X208" s="9" t="str">
        <f t="shared" si="20"/>
        <v>a885</v>
      </c>
    </row>
    <row r="209" spans="1:24" x14ac:dyDescent="0.2">
      <c r="A209" s="9" t="s">
        <v>425</v>
      </c>
      <c r="B209" s="9">
        <v>1</v>
      </c>
      <c r="C209" s="22">
        <v>5</v>
      </c>
      <c r="D209" s="25"/>
      <c r="E209" s="23">
        <v>45201</v>
      </c>
      <c r="F209" s="23" t="s">
        <v>363</v>
      </c>
      <c r="G209" s="25" t="s">
        <v>22</v>
      </c>
      <c r="H209" s="24">
        <v>0.16</v>
      </c>
      <c r="I209" s="25" t="s">
        <v>105</v>
      </c>
      <c r="J209" s="25" t="s">
        <v>7</v>
      </c>
      <c r="K209" s="25" t="s">
        <v>9</v>
      </c>
      <c r="L209" s="25">
        <f t="shared" si="18"/>
        <v>676</v>
      </c>
      <c r="M209" s="4" t="str">
        <f>IF(Table3[[#This Row],[Afrondingsdatum YB]]="N/A","-",Table3[[#This Row],[Afrondingsdatum YB]]-Table3[[#This Row],[StartDatum]])</f>
        <v>-</v>
      </c>
      <c r="N209" s="4"/>
      <c r="O209">
        <f t="shared" si="17"/>
        <v>100</v>
      </c>
      <c r="P209">
        <f t="shared" si="17"/>
        <v>101</v>
      </c>
      <c r="Q209">
        <f t="shared" si="17"/>
        <v>109</v>
      </c>
      <c r="R209">
        <f t="shared" si="17"/>
        <v>105</v>
      </c>
      <c r="S209">
        <f t="shared" si="17"/>
        <v>46</v>
      </c>
      <c r="T209">
        <f t="shared" si="17"/>
        <v>118</v>
      </c>
      <c r="U209">
        <f t="shared" si="17"/>
        <v>97</v>
      </c>
      <c r="V209">
        <f t="shared" si="17"/>
        <v>110</v>
      </c>
      <c r="W209" s="5">
        <f t="shared" si="19"/>
        <v>875</v>
      </c>
      <c r="X209" s="9" t="str">
        <f t="shared" si="20"/>
        <v>e875</v>
      </c>
    </row>
    <row r="210" spans="1:24" x14ac:dyDescent="0.2">
      <c r="A210" s="9" t="s">
        <v>425</v>
      </c>
      <c r="B210" s="9">
        <v>1</v>
      </c>
      <c r="C210" s="22">
        <v>5</v>
      </c>
      <c r="D210" s="25"/>
      <c r="E210" s="18">
        <v>45201</v>
      </c>
      <c r="F210" s="18" t="s">
        <v>363</v>
      </c>
      <c r="G210" s="20" t="s">
        <v>23</v>
      </c>
      <c r="H210" s="19">
        <v>0</v>
      </c>
      <c r="I210" s="20" t="s">
        <v>8</v>
      </c>
      <c r="J210" s="20" t="s">
        <v>7</v>
      </c>
      <c r="K210" s="20" t="s">
        <v>9</v>
      </c>
      <c r="L210" s="20">
        <f t="shared" si="18"/>
        <v>681</v>
      </c>
      <c r="M210" s="4" t="str">
        <f>IF(Table3[[#This Row],[Afrondingsdatum YB]]="N/A","-",Table3[[#This Row],[Afrondingsdatum YB]]-Table3[[#This Row],[StartDatum]])</f>
        <v>-</v>
      </c>
      <c r="N210" s="4"/>
      <c r="O210">
        <f t="shared" si="17"/>
        <v>101</v>
      </c>
      <c r="P210">
        <f t="shared" si="17"/>
        <v>108</v>
      </c>
      <c r="Q210">
        <f t="shared" si="17"/>
        <v>105</v>
      </c>
      <c r="R210">
        <f t="shared" si="17"/>
        <v>122</v>
      </c>
      <c r="S210">
        <f t="shared" si="17"/>
        <v>101</v>
      </c>
      <c r="T210">
        <f t="shared" si="17"/>
        <v>46</v>
      </c>
      <c r="U210">
        <f t="shared" si="17"/>
        <v>98</v>
      </c>
      <c r="V210">
        <f t="shared" si="17"/>
        <v>97</v>
      </c>
      <c r="W210" s="5">
        <f t="shared" si="19"/>
        <v>843</v>
      </c>
      <c r="X210" s="9" t="str">
        <f t="shared" si="20"/>
        <v>l843</v>
      </c>
    </row>
    <row r="211" spans="1:24" x14ac:dyDescent="0.2">
      <c r="A211" s="9" t="s">
        <v>425</v>
      </c>
      <c r="B211" s="9">
        <v>1</v>
      </c>
      <c r="C211" s="22">
        <v>5</v>
      </c>
      <c r="D211" s="25"/>
      <c r="E211" s="23">
        <v>45201</v>
      </c>
      <c r="F211" s="23" t="s">
        <v>363</v>
      </c>
      <c r="G211" s="25" t="s">
        <v>24</v>
      </c>
      <c r="H211" s="24">
        <v>0</v>
      </c>
      <c r="I211" s="25" t="s">
        <v>8</v>
      </c>
      <c r="J211" s="25" t="s">
        <v>7</v>
      </c>
      <c r="K211" s="25" t="s">
        <v>9</v>
      </c>
      <c r="L211" s="25">
        <f t="shared" si="18"/>
        <v>705</v>
      </c>
      <c r="M211" s="4" t="str">
        <f>IF(Table3[[#This Row],[Afrondingsdatum YB]]="N/A","-",Table3[[#This Row],[Afrondingsdatum YB]]-Table3[[#This Row],[StartDatum]])</f>
        <v>-</v>
      </c>
      <c r="N211" s="4"/>
      <c r="O211">
        <f t="shared" si="17"/>
        <v>102</v>
      </c>
      <c r="P211">
        <f t="shared" si="17"/>
        <v>105</v>
      </c>
      <c r="Q211">
        <f t="shared" si="17"/>
        <v>115</v>
      </c>
      <c r="R211">
        <f t="shared" si="17"/>
        <v>116</v>
      </c>
      <c r="S211">
        <f t="shared" si="17"/>
        <v>111</v>
      </c>
      <c r="T211">
        <f t="shared" si="17"/>
        <v>110</v>
      </c>
      <c r="U211">
        <f t="shared" si="17"/>
        <v>46</v>
      </c>
      <c r="V211">
        <f t="shared" si="17"/>
        <v>99</v>
      </c>
      <c r="W211" s="5">
        <f t="shared" si="19"/>
        <v>895</v>
      </c>
      <c r="X211" s="9" t="str">
        <f t="shared" si="20"/>
        <v>i895</v>
      </c>
    </row>
    <row r="212" spans="1:24" x14ac:dyDescent="0.2">
      <c r="A212" s="9" t="s">
        <v>425</v>
      </c>
      <c r="B212" s="9">
        <v>1</v>
      </c>
      <c r="C212" s="22">
        <v>5</v>
      </c>
      <c r="D212" s="25"/>
      <c r="E212" s="18">
        <v>45201</v>
      </c>
      <c r="F212" s="18" t="s">
        <v>362</v>
      </c>
      <c r="G212" s="20" t="s">
        <v>118</v>
      </c>
      <c r="H212" s="19">
        <v>0</v>
      </c>
      <c r="I212" s="20" t="s">
        <v>8</v>
      </c>
      <c r="J212" s="20" t="s">
        <v>7</v>
      </c>
      <c r="K212" s="20" t="s">
        <v>9</v>
      </c>
      <c r="L212" s="20">
        <f t="shared" si="18"/>
        <v>756</v>
      </c>
      <c r="M212" s="4" t="str">
        <f>IF(Table3[[#This Row],[Afrondingsdatum YB]]="N/A","-",Table3[[#This Row],[Afrondingsdatum YB]]-Table3[[#This Row],[StartDatum]])</f>
        <v>-</v>
      </c>
      <c r="N212" s="4"/>
      <c r="O212">
        <f t="shared" si="17"/>
        <v>103</v>
      </c>
      <c r="P212">
        <f t="shared" si="17"/>
        <v>101</v>
      </c>
      <c r="Q212">
        <f t="shared" si="17"/>
        <v>110</v>
      </c>
      <c r="R212">
        <f t="shared" si="17"/>
        <v>116</v>
      </c>
      <c r="S212">
        <f t="shared" si="17"/>
        <v>97</v>
      </c>
      <c r="T212">
        <f t="shared" si="17"/>
        <v>108</v>
      </c>
      <c r="U212">
        <f t="shared" si="17"/>
        <v>121</v>
      </c>
      <c r="V212">
        <f t="shared" si="17"/>
        <v>46</v>
      </c>
      <c r="W212" s="5">
        <f t="shared" si="19"/>
        <v>885</v>
      </c>
      <c r="X212" s="9" t="str">
        <f t="shared" si="20"/>
        <v>e885</v>
      </c>
    </row>
    <row r="213" spans="1:24" x14ac:dyDescent="0.2">
      <c r="A213" s="9" t="s">
        <v>425</v>
      </c>
      <c r="B213" s="9">
        <v>1</v>
      </c>
      <c r="C213" s="22">
        <v>5</v>
      </c>
      <c r="D213" s="25"/>
      <c r="E213" s="23">
        <v>45201</v>
      </c>
      <c r="F213" s="23" t="s">
        <v>362</v>
      </c>
      <c r="G213" s="25" t="s">
        <v>25</v>
      </c>
      <c r="H213" s="24">
        <v>0.15</v>
      </c>
      <c r="I213" s="25" t="s">
        <v>119</v>
      </c>
      <c r="J213" s="25" t="s">
        <v>7</v>
      </c>
      <c r="K213" s="25" t="s">
        <v>9</v>
      </c>
      <c r="L213" s="25">
        <f t="shared" si="18"/>
        <v>690</v>
      </c>
      <c r="M213" s="4" t="str">
        <f>IF(Table3[[#This Row],[Afrondingsdatum YB]]="N/A","-",Table3[[#This Row],[Afrondingsdatum YB]]-Table3[[#This Row],[StartDatum]])</f>
        <v>-</v>
      </c>
      <c r="N213" s="4"/>
      <c r="O213">
        <f t="shared" si="17"/>
        <v>103</v>
      </c>
      <c r="P213">
        <f t="shared" si="17"/>
        <v>108</v>
      </c>
      <c r="Q213">
        <f t="shared" si="17"/>
        <v>105</v>
      </c>
      <c r="R213">
        <f t="shared" si="17"/>
        <v>103</v>
      </c>
      <c r="S213">
        <f t="shared" si="17"/>
        <v>111</v>
      </c>
      <c r="T213">
        <f t="shared" si="17"/>
        <v>114</v>
      </c>
      <c r="U213">
        <f t="shared" si="17"/>
        <v>46</v>
      </c>
      <c r="V213">
        <f t="shared" si="17"/>
        <v>106</v>
      </c>
      <c r="W213" s="5">
        <f t="shared" si="19"/>
        <v>875</v>
      </c>
      <c r="X213" s="9" t="str">
        <f t="shared" si="20"/>
        <v>l875</v>
      </c>
    </row>
    <row r="214" spans="1:24" x14ac:dyDescent="0.2">
      <c r="A214" s="9" t="s">
        <v>425</v>
      </c>
      <c r="B214" s="9">
        <v>1</v>
      </c>
      <c r="C214" s="22">
        <v>5</v>
      </c>
      <c r="D214" s="25"/>
      <c r="E214" s="18">
        <v>45201</v>
      </c>
      <c r="F214" s="18" t="s">
        <v>363</v>
      </c>
      <c r="G214" s="20" t="s">
        <v>26</v>
      </c>
      <c r="H214" s="19">
        <v>0.14000000000000001</v>
      </c>
      <c r="I214" s="20" t="s">
        <v>120</v>
      </c>
      <c r="J214" s="20" t="s">
        <v>7</v>
      </c>
      <c r="K214" s="20" t="s">
        <v>9</v>
      </c>
      <c r="L214" s="20">
        <f t="shared" si="18"/>
        <v>690</v>
      </c>
      <c r="M214" s="4" t="str">
        <f>IF(Table3[[#This Row],[Afrondingsdatum YB]]="N/A","-",Table3[[#This Row],[Afrondingsdatum YB]]-Table3[[#This Row],[StartDatum]])</f>
        <v>-</v>
      </c>
      <c r="N214" s="4"/>
      <c r="O214">
        <f t="shared" si="17"/>
        <v>104</v>
      </c>
      <c r="P214">
        <f t="shared" si="17"/>
        <v>97</v>
      </c>
      <c r="Q214">
        <f t="shared" si="17"/>
        <v>122</v>
      </c>
      <c r="R214">
        <f t="shared" si="17"/>
        <v>101</v>
      </c>
      <c r="S214">
        <f t="shared" si="17"/>
        <v>109</v>
      </c>
      <c r="T214">
        <f t="shared" si="17"/>
        <v>46</v>
      </c>
      <c r="U214">
        <f t="shared" si="17"/>
        <v>111</v>
      </c>
      <c r="V214">
        <f t="shared" si="17"/>
        <v>110</v>
      </c>
      <c r="W214" s="5">
        <f t="shared" si="19"/>
        <v>920</v>
      </c>
      <c r="X214" s="9" t="str">
        <f t="shared" si="20"/>
        <v>a920</v>
      </c>
    </row>
    <row r="215" spans="1:24" x14ac:dyDescent="0.2">
      <c r="A215" s="9" t="s">
        <v>425</v>
      </c>
      <c r="B215" s="9">
        <v>1</v>
      </c>
      <c r="C215" s="22">
        <v>5</v>
      </c>
      <c r="D215" s="25"/>
      <c r="E215" s="23">
        <v>45201</v>
      </c>
      <c r="F215" s="23" t="s">
        <v>364</v>
      </c>
      <c r="G215" s="25" t="s">
        <v>27</v>
      </c>
      <c r="H215" s="24">
        <v>0</v>
      </c>
      <c r="I215" s="25" t="s">
        <v>8</v>
      </c>
      <c r="J215" s="25" t="s">
        <v>7</v>
      </c>
      <c r="K215" s="25" t="s">
        <v>9</v>
      </c>
      <c r="L215" s="25">
        <f t="shared" si="18"/>
        <v>734</v>
      </c>
      <c r="M215" s="4" t="str">
        <f>IF(Table3[[#This Row],[Afrondingsdatum YB]]="N/A","-",Table3[[#This Row],[Afrondingsdatum YB]]-Table3[[#This Row],[StartDatum]])</f>
        <v>-</v>
      </c>
      <c r="N215" s="4"/>
      <c r="O215">
        <f t="shared" si="17"/>
        <v>104</v>
      </c>
      <c r="P215">
        <f t="shared" si="17"/>
        <v>101</v>
      </c>
      <c r="Q215">
        <f t="shared" si="17"/>
        <v>114</v>
      </c>
      <c r="R215">
        <f t="shared" si="17"/>
        <v>109</v>
      </c>
      <c r="S215">
        <f t="shared" si="17"/>
        <v>101</v>
      </c>
      <c r="T215">
        <f t="shared" si="17"/>
        <v>108</v>
      </c>
      <c r="U215">
        <f t="shared" si="17"/>
        <v>97</v>
      </c>
      <c r="V215">
        <f t="shared" si="17"/>
        <v>46</v>
      </c>
      <c r="W215" s="5">
        <f t="shared" si="19"/>
        <v>876</v>
      </c>
      <c r="X215" s="9" t="str">
        <f t="shared" si="20"/>
        <v>e876</v>
      </c>
    </row>
    <row r="216" spans="1:24" x14ac:dyDescent="0.2">
      <c r="A216" s="9" t="s">
        <v>425</v>
      </c>
      <c r="B216" s="9">
        <v>1</v>
      </c>
      <c r="C216" s="22">
        <v>5</v>
      </c>
      <c r="D216" s="25"/>
      <c r="E216" s="18">
        <v>45201</v>
      </c>
      <c r="F216" s="18" t="s">
        <v>364</v>
      </c>
      <c r="G216" s="20" t="s">
        <v>28</v>
      </c>
      <c r="H216" s="19">
        <v>0</v>
      </c>
      <c r="I216" s="20" t="s">
        <v>8</v>
      </c>
      <c r="J216" s="20" t="s">
        <v>7</v>
      </c>
      <c r="K216" s="20" t="s">
        <v>9</v>
      </c>
      <c r="L216" s="20">
        <f t="shared" si="18"/>
        <v>665</v>
      </c>
      <c r="M216" s="4" t="str">
        <f>IF(Table3[[#This Row],[Afrondingsdatum YB]]="N/A","-",Table3[[#This Row],[Afrondingsdatum YB]]-Table3[[#This Row],[StartDatum]])</f>
        <v>-</v>
      </c>
      <c r="N216" s="4"/>
      <c r="O216">
        <f t="shared" si="17"/>
        <v>104</v>
      </c>
      <c r="P216">
        <f t="shared" si="17"/>
        <v>117</v>
      </c>
      <c r="Q216">
        <f t="shared" si="17"/>
        <v>105</v>
      </c>
      <c r="R216">
        <f t="shared" si="17"/>
        <v>98</v>
      </c>
      <c r="S216">
        <f t="shared" si="17"/>
        <v>46</v>
      </c>
      <c r="T216">
        <f t="shared" si="17"/>
        <v>98</v>
      </c>
      <c r="U216">
        <f t="shared" si="17"/>
        <v>97</v>
      </c>
      <c r="V216">
        <f t="shared" si="17"/>
        <v>107</v>
      </c>
      <c r="W216" s="5">
        <f t="shared" si="19"/>
        <v>850</v>
      </c>
      <c r="X216" s="9" t="str">
        <f t="shared" si="20"/>
        <v>u850</v>
      </c>
    </row>
    <row r="217" spans="1:24" x14ac:dyDescent="0.2">
      <c r="A217" s="9" t="s">
        <v>425</v>
      </c>
      <c r="B217" s="9">
        <v>1</v>
      </c>
      <c r="C217" s="22">
        <v>5</v>
      </c>
      <c r="D217" s="25"/>
      <c r="E217" s="23">
        <v>45201</v>
      </c>
      <c r="F217" s="23" t="s">
        <v>363</v>
      </c>
      <c r="G217" s="25" t="s">
        <v>29</v>
      </c>
      <c r="H217" s="24">
        <v>0.47</v>
      </c>
      <c r="I217" s="25" t="s">
        <v>121</v>
      </c>
      <c r="J217" s="25" t="s">
        <v>7</v>
      </c>
      <c r="K217" s="25" t="s">
        <v>9</v>
      </c>
      <c r="L217" s="25">
        <f t="shared" si="18"/>
        <v>682</v>
      </c>
      <c r="M217" s="4" t="str">
        <f>IF(Table3[[#This Row],[Afrondingsdatum YB]]="N/A","-",Table3[[#This Row],[Afrondingsdatum YB]]-Table3[[#This Row],[StartDatum]])</f>
        <v>-</v>
      </c>
      <c r="N217" s="4"/>
      <c r="O217">
        <f t="shared" si="17"/>
        <v>105</v>
      </c>
      <c r="P217">
        <f t="shared" si="17"/>
        <v>107</v>
      </c>
      <c r="Q217">
        <f t="shared" si="17"/>
        <v>104</v>
      </c>
      <c r="R217">
        <f t="shared" si="17"/>
        <v>108</v>
      </c>
      <c r="S217">
        <f t="shared" si="17"/>
        <v>97</v>
      </c>
      <c r="T217">
        <f t="shared" si="17"/>
        <v>115</v>
      </c>
      <c r="U217">
        <f t="shared" si="17"/>
        <v>46</v>
      </c>
      <c r="V217">
        <f t="shared" si="17"/>
        <v>98</v>
      </c>
      <c r="W217" s="5">
        <f t="shared" si="19"/>
        <v>854</v>
      </c>
      <c r="X217" s="9" t="str">
        <f t="shared" si="20"/>
        <v>k854</v>
      </c>
    </row>
    <row r="218" spans="1:24" x14ac:dyDescent="0.2">
      <c r="A218" s="9" t="s">
        <v>425</v>
      </c>
      <c r="B218" s="9">
        <v>1</v>
      </c>
      <c r="C218" s="22">
        <v>5</v>
      </c>
      <c r="D218" s="25"/>
      <c r="E218" s="18">
        <v>45201</v>
      </c>
      <c r="F218" s="18" t="s">
        <v>363</v>
      </c>
      <c r="G218" s="20" t="s">
        <v>30</v>
      </c>
      <c r="H218" s="19">
        <v>0.39</v>
      </c>
      <c r="I218" s="20" t="s">
        <v>122</v>
      </c>
      <c r="J218" s="20" t="s">
        <v>7</v>
      </c>
      <c r="K218" s="20" t="s">
        <v>9</v>
      </c>
      <c r="L218" s="20">
        <f t="shared" si="18"/>
        <v>701</v>
      </c>
      <c r="M218" s="4" t="str">
        <f>IF(Table3[[#This Row],[Afrondingsdatum YB]]="N/A","-",Table3[[#This Row],[Afrondingsdatum YB]]-Table3[[#This Row],[StartDatum]])</f>
        <v>-</v>
      </c>
      <c r="N218" s="4"/>
      <c r="O218">
        <f t="shared" si="17"/>
        <v>105</v>
      </c>
      <c r="P218">
        <f t="shared" si="17"/>
        <v>108</v>
      </c>
      <c r="Q218">
        <f t="shared" si="17"/>
        <v>107</v>
      </c>
      <c r="R218">
        <f t="shared" si="17"/>
        <v>97</v>
      </c>
      <c r="S218">
        <f t="shared" si="17"/>
        <v>121</v>
      </c>
      <c r="T218">
        <f t="shared" si="17"/>
        <v>46</v>
      </c>
      <c r="U218">
        <f t="shared" si="17"/>
        <v>117</v>
      </c>
      <c r="V218">
        <f t="shared" si="17"/>
        <v>121</v>
      </c>
      <c r="W218" s="5">
        <f t="shared" si="19"/>
        <v>909</v>
      </c>
      <c r="X218" s="9" t="str">
        <f t="shared" si="20"/>
        <v>l909</v>
      </c>
    </row>
    <row r="219" spans="1:24" x14ac:dyDescent="0.2">
      <c r="A219" s="9" t="s">
        <v>425</v>
      </c>
      <c r="B219" s="9">
        <v>1</v>
      </c>
      <c r="C219" s="22">
        <v>5</v>
      </c>
      <c r="D219" s="25"/>
      <c r="E219" s="23">
        <v>45201</v>
      </c>
      <c r="F219" s="23" t="s">
        <v>364</v>
      </c>
      <c r="G219" s="25" t="s">
        <v>31</v>
      </c>
      <c r="H219" s="24">
        <v>0.04</v>
      </c>
      <c r="I219" s="25" t="s">
        <v>98</v>
      </c>
      <c r="J219" s="25" t="s">
        <v>7</v>
      </c>
      <c r="K219" s="25" t="s">
        <v>9</v>
      </c>
      <c r="L219" s="25">
        <f t="shared" si="18"/>
        <v>661</v>
      </c>
      <c r="M219" s="4" t="str">
        <f>IF(Table3[[#This Row],[Afrondingsdatum YB]]="N/A","-",Table3[[#This Row],[Afrondingsdatum YB]]-Table3[[#This Row],[StartDatum]])</f>
        <v>-</v>
      </c>
      <c r="N219" s="4"/>
      <c r="O219">
        <f t="shared" si="17"/>
        <v>106</v>
      </c>
      <c r="P219">
        <f t="shared" si="17"/>
        <v>97</v>
      </c>
      <c r="Q219">
        <f t="shared" si="17"/>
        <v>109</v>
      </c>
      <c r="R219">
        <f t="shared" si="17"/>
        <v>97</v>
      </c>
      <c r="S219">
        <f t="shared" si="17"/>
        <v>108</v>
      </c>
      <c r="T219">
        <f t="shared" si="17"/>
        <v>46</v>
      </c>
      <c r="U219">
        <f t="shared" si="17"/>
        <v>98</v>
      </c>
      <c r="V219">
        <f t="shared" si="17"/>
        <v>97</v>
      </c>
      <c r="W219" s="5">
        <f t="shared" si="19"/>
        <v>855</v>
      </c>
      <c r="X219" s="9" t="str">
        <f t="shared" si="20"/>
        <v>a855</v>
      </c>
    </row>
    <row r="220" spans="1:24" x14ac:dyDescent="0.2">
      <c r="A220" s="9" t="s">
        <v>425</v>
      </c>
      <c r="B220" s="9">
        <v>1</v>
      </c>
      <c r="C220" s="22">
        <v>5</v>
      </c>
      <c r="D220" s="25"/>
      <c r="E220" s="18">
        <v>45201</v>
      </c>
      <c r="F220" s="18" t="s">
        <v>364</v>
      </c>
      <c r="G220" s="20" t="s">
        <v>75</v>
      </c>
      <c r="H220" s="19">
        <v>0</v>
      </c>
      <c r="I220" s="20" t="s">
        <v>8</v>
      </c>
      <c r="J220" s="20" t="s">
        <v>7</v>
      </c>
      <c r="K220" s="20" t="s">
        <v>9</v>
      </c>
      <c r="L220" s="20">
        <f t="shared" si="18"/>
        <v>698</v>
      </c>
      <c r="M220" s="4" t="str">
        <f>IF(Table3[[#This Row],[Afrondingsdatum YB]]="N/A","-",Table3[[#This Row],[Afrondingsdatum YB]]-Table3[[#This Row],[StartDatum]])</f>
        <v>-</v>
      </c>
      <c r="N220" s="4"/>
      <c r="O220">
        <f t="shared" si="17"/>
        <v>74</v>
      </c>
      <c r="P220">
        <f t="shared" si="17"/>
        <v>97</v>
      </c>
      <c r="Q220">
        <f t="shared" si="17"/>
        <v>109</v>
      </c>
      <c r="R220">
        <f t="shared" si="17"/>
        <v>105</v>
      </c>
      <c r="S220">
        <f t="shared" si="17"/>
        <v>108</v>
      </c>
      <c r="T220">
        <f t="shared" si="17"/>
        <v>108</v>
      </c>
      <c r="U220">
        <f t="shared" si="17"/>
        <v>97</v>
      </c>
      <c r="V220">
        <f t="shared" si="17"/>
        <v>98</v>
      </c>
      <c r="W220" s="5">
        <f t="shared" si="19"/>
        <v>887</v>
      </c>
      <c r="X220" s="9" t="str">
        <f t="shared" si="20"/>
        <v>a887</v>
      </c>
    </row>
    <row r="221" spans="1:24" x14ac:dyDescent="0.2">
      <c r="A221" s="9" t="s">
        <v>425</v>
      </c>
      <c r="B221" s="9">
        <v>1</v>
      </c>
      <c r="C221" s="22">
        <v>5</v>
      </c>
      <c r="D221" s="25"/>
      <c r="E221" s="23">
        <v>45201</v>
      </c>
      <c r="F221" s="23" t="s">
        <v>363</v>
      </c>
      <c r="G221" s="25" t="s">
        <v>32</v>
      </c>
      <c r="H221" s="24">
        <v>0.28000000000000003</v>
      </c>
      <c r="I221" s="25" t="s">
        <v>123</v>
      </c>
      <c r="J221" s="25" t="s">
        <v>7</v>
      </c>
      <c r="K221" s="25" t="s">
        <v>9</v>
      </c>
      <c r="L221" s="25">
        <f t="shared" si="18"/>
        <v>698</v>
      </c>
      <c r="M221" s="4" t="str">
        <f>IF(Table3[[#This Row],[Afrondingsdatum YB]]="N/A","-",Table3[[#This Row],[Afrondingsdatum YB]]-Table3[[#This Row],[StartDatum]])</f>
        <v>-</v>
      </c>
      <c r="N221" s="4"/>
      <c r="O221">
        <f t="shared" si="17"/>
        <v>106</v>
      </c>
      <c r="P221">
        <f t="shared" si="17"/>
        <v>97</v>
      </c>
      <c r="Q221">
        <f t="shared" si="17"/>
        <v>114</v>
      </c>
      <c r="R221">
        <f t="shared" si="17"/>
        <v>114</v>
      </c>
      <c r="S221">
        <f t="shared" si="17"/>
        <v>111</v>
      </c>
      <c r="T221">
        <f t="shared" si="17"/>
        <v>110</v>
      </c>
      <c r="U221">
        <f t="shared" si="17"/>
        <v>46</v>
      </c>
      <c r="V221">
        <f t="shared" si="17"/>
        <v>118</v>
      </c>
      <c r="W221" s="5">
        <f t="shared" si="19"/>
        <v>910</v>
      </c>
      <c r="X221" s="9" t="str">
        <f t="shared" si="20"/>
        <v>a910</v>
      </c>
    </row>
    <row r="222" spans="1:24" x14ac:dyDescent="0.2">
      <c r="A222" s="9" t="s">
        <v>425</v>
      </c>
      <c r="B222" s="9">
        <v>1</v>
      </c>
      <c r="C222" s="22">
        <v>5</v>
      </c>
      <c r="D222" s="25"/>
      <c r="E222" s="18">
        <v>45201</v>
      </c>
      <c r="F222" s="18" t="s">
        <v>362</v>
      </c>
      <c r="G222" s="20" t="s">
        <v>33</v>
      </c>
      <c r="H222" s="19">
        <v>7.0000000000000007E-2</v>
      </c>
      <c r="I222" s="20" t="s">
        <v>124</v>
      </c>
      <c r="J222" s="20" t="s">
        <v>7</v>
      </c>
      <c r="K222" s="20" t="s">
        <v>9</v>
      </c>
      <c r="L222" s="20">
        <f t="shared" si="18"/>
        <v>707</v>
      </c>
      <c r="M222" s="4" t="str">
        <f>IF(Table3[[#This Row],[Afrondingsdatum YB]]="N/A","-",Table3[[#This Row],[Afrondingsdatum YB]]-Table3[[#This Row],[StartDatum]])</f>
        <v>-</v>
      </c>
      <c r="N222" s="4"/>
      <c r="O222">
        <f t="shared" si="17"/>
        <v>106</v>
      </c>
      <c r="P222">
        <f t="shared" si="17"/>
        <v>101</v>
      </c>
      <c r="Q222">
        <f t="shared" si="17"/>
        <v>118</v>
      </c>
      <c r="R222">
        <f t="shared" si="17"/>
        <v>111</v>
      </c>
      <c r="S222">
        <f t="shared" si="17"/>
        <v>110</v>
      </c>
      <c r="T222">
        <f t="shared" si="17"/>
        <v>46</v>
      </c>
      <c r="U222">
        <f t="shared" si="17"/>
        <v>115</v>
      </c>
      <c r="V222">
        <f t="shared" si="17"/>
        <v>109</v>
      </c>
      <c r="W222" s="5">
        <f t="shared" si="19"/>
        <v>918</v>
      </c>
      <c r="X222" s="9" t="str">
        <f t="shared" si="20"/>
        <v>e918</v>
      </c>
    </row>
    <row r="223" spans="1:24" x14ac:dyDescent="0.2">
      <c r="A223" s="9" t="s">
        <v>425</v>
      </c>
      <c r="B223" s="9">
        <v>1</v>
      </c>
      <c r="C223" s="22">
        <v>5</v>
      </c>
      <c r="D223" s="25"/>
      <c r="E223" s="23">
        <v>45201</v>
      </c>
      <c r="F223" s="23" t="s">
        <v>362</v>
      </c>
      <c r="G223" s="25" t="s">
        <v>125</v>
      </c>
      <c r="H223" s="24">
        <v>0</v>
      </c>
      <c r="I223" s="25" t="s">
        <v>8</v>
      </c>
      <c r="J223" s="25" t="s">
        <v>7</v>
      </c>
      <c r="K223" s="25" t="s">
        <v>9</v>
      </c>
      <c r="L223" s="25">
        <f t="shared" si="18"/>
        <v>689</v>
      </c>
      <c r="M223" s="4" t="str">
        <f>IF(Table3[[#This Row],[Afrondingsdatum YB]]="N/A","-",Table3[[#This Row],[Afrondingsdatum YB]]-Table3[[#This Row],[StartDatum]])</f>
        <v>-</v>
      </c>
      <c r="N223" s="4"/>
      <c r="O223">
        <f t="shared" si="17"/>
        <v>106</v>
      </c>
      <c r="P223">
        <f t="shared" si="17"/>
        <v>111</v>
      </c>
      <c r="Q223">
        <f t="shared" si="17"/>
        <v>98</v>
      </c>
      <c r="R223">
        <f t="shared" ref="P223:V259" si="21">CODE(MID($G223,R$1,1))</f>
        <v>46</v>
      </c>
      <c r="S223">
        <f t="shared" si="21"/>
        <v>107</v>
      </c>
      <c r="T223">
        <f t="shared" si="21"/>
        <v>110</v>
      </c>
      <c r="U223">
        <f t="shared" si="21"/>
        <v>111</v>
      </c>
      <c r="V223">
        <f t="shared" si="21"/>
        <v>111</v>
      </c>
      <c r="W223" s="5">
        <f t="shared" si="19"/>
        <v>906</v>
      </c>
      <c r="X223" s="9" t="str">
        <f t="shared" si="20"/>
        <v>o906</v>
      </c>
    </row>
    <row r="224" spans="1:24" x14ac:dyDescent="0.2">
      <c r="A224" s="9" t="s">
        <v>425</v>
      </c>
      <c r="B224" s="9">
        <v>1</v>
      </c>
      <c r="C224" s="22">
        <v>5</v>
      </c>
      <c r="D224" s="25"/>
      <c r="E224" s="18">
        <v>45201</v>
      </c>
      <c r="F224" s="18" t="s">
        <v>362</v>
      </c>
      <c r="G224" s="20" t="s">
        <v>34</v>
      </c>
      <c r="H224" s="19">
        <v>0</v>
      </c>
      <c r="I224" s="20" t="s">
        <v>8</v>
      </c>
      <c r="J224" s="20" t="s">
        <v>7</v>
      </c>
      <c r="K224" s="20" t="s">
        <v>9</v>
      </c>
      <c r="L224" s="20">
        <f t="shared" si="18"/>
        <v>676</v>
      </c>
      <c r="M224" s="4" t="str">
        <f>IF(Table3[[#This Row],[Afrondingsdatum YB]]="N/A","-",Table3[[#This Row],[Afrondingsdatum YB]]-Table3[[#This Row],[StartDatum]])</f>
        <v>-</v>
      </c>
      <c r="N224" s="4"/>
      <c r="O224">
        <f t="shared" ref="O224:O287" si="22">CODE(MID($G224,O$1,1))</f>
        <v>106</v>
      </c>
      <c r="P224">
        <f t="shared" si="21"/>
        <v>111</v>
      </c>
      <c r="Q224">
        <f t="shared" si="21"/>
        <v>99</v>
      </c>
      <c r="R224">
        <f t="shared" si="21"/>
        <v>104</v>
      </c>
      <c r="S224">
        <f t="shared" si="21"/>
        <v>101</v>
      </c>
      <c r="T224">
        <f t="shared" si="21"/>
        <v>109</v>
      </c>
      <c r="U224">
        <f t="shared" si="21"/>
        <v>46</v>
      </c>
      <c r="V224">
        <f t="shared" si="21"/>
        <v>104</v>
      </c>
      <c r="W224" s="5">
        <f t="shared" si="19"/>
        <v>845</v>
      </c>
      <c r="X224" s="9" t="str">
        <f t="shared" si="20"/>
        <v>o845</v>
      </c>
    </row>
    <row r="225" spans="1:24" x14ac:dyDescent="0.2">
      <c r="A225" s="9" t="s">
        <v>425</v>
      </c>
      <c r="B225" s="9">
        <v>1</v>
      </c>
      <c r="C225" s="22">
        <v>5</v>
      </c>
      <c r="D225" s="25"/>
      <c r="E225" s="23">
        <v>45201</v>
      </c>
      <c r="F225" s="23" t="s">
        <v>362</v>
      </c>
      <c r="G225" s="25" t="s">
        <v>35</v>
      </c>
      <c r="H225" s="24">
        <v>0</v>
      </c>
      <c r="I225" s="25" t="s">
        <v>76</v>
      </c>
      <c r="J225" s="25" t="s">
        <v>7</v>
      </c>
      <c r="K225" s="25" t="s">
        <v>9</v>
      </c>
      <c r="L225" s="25">
        <f t="shared" si="18"/>
        <v>704</v>
      </c>
      <c r="M225" s="4" t="str">
        <f>IF(Table3[[#This Row],[Afrondingsdatum YB]]="N/A","-",Table3[[#This Row],[Afrondingsdatum YB]]-Table3[[#This Row],[StartDatum]])</f>
        <v>-</v>
      </c>
      <c r="N225" s="4"/>
      <c r="O225">
        <f t="shared" si="22"/>
        <v>106</v>
      </c>
      <c r="P225">
        <f t="shared" si="21"/>
        <v>111</v>
      </c>
      <c r="Q225">
        <f t="shared" si="21"/>
        <v>114</v>
      </c>
      <c r="R225">
        <f t="shared" si="21"/>
        <v>105</v>
      </c>
      <c r="S225">
        <f t="shared" si="21"/>
        <v>115</v>
      </c>
      <c r="T225">
        <f t="shared" si="21"/>
        <v>46</v>
      </c>
      <c r="U225">
        <f t="shared" si="21"/>
        <v>107</v>
      </c>
      <c r="V225">
        <f t="shared" si="21"/>
        <v>111</v>
      </c>
      <c r="W225" s="5">
        <f t="shared" si="19"/>
        <v>909</v>
      </c>
      <c r="X225" s="9" t="str">
        <f t="shared" si="20"/>
        <v>o909</v>
      </c>
    </row>
    <row r="226" spans="1:24" x14ac:dyDescent="0.2">
      <c r="A226" s="9" t="s">
        <v>425</v>
      </c>
      <c r="B226" s="9">
        <v>1</v>
      </c>
      <c r="C226" s="22">
        <v>5</v>
      </c>
      <c r="D226" s="25"/>
      <c r="E226" s="18">
        <v>45201</v>
      </c>
      <c r="F226" s="18" t="s">
        <v>364</v>
      </c>
      <c r="G226" s="20" t="s">
        <v>36</v>
      </c>
      <c r="H226" s="19">
        <v>0</v>
      </c>
      <c r="I226" s="20" t="s">
        <v>8</v>
      </c>
      <c r="J226" s="20" t="s">
        <v>7</v>
      </c>
      <c r="K226" s="20" t="s">
        <v>9</v>
      </c>
      <c r="L226" s="20">
        <f t="shared" si="18"/>
        <v>657</v>
      </c>
      <c r="M226" s="4" t="str">
        <f>IF(Table3[[#This Row],[Afrondingsdatum YB]]="N/A","-",Table3[[#This Row],[Afrondingsdatum YB]]-Table3[[#This Row],[StartDatum]])</f>
        <v>-</v>
      </c>
      <c r="N226" s="4"/>
      <c r="O226">
        <f t="shared" si="22"/>
        <v>74</v>
      </c>
      <c r="P226">
        <f t="shared" si="21"/>
        <v>117</v>
      </c>
      <c r="Q226">
        <f t="shared" si="21"/>
        <v>108</v>
      </c>
      <c r="R226">
        <f t="shared" si="21"/>
        <v>105</v>
      </c>
      <c r="S226">
        <f t="shared" si="21"/>
        <v>97</v>
      </c>
      <c r="T226">
        <f t="shared" si="21"/>
        <v>110</v>
      </c>
      <c r="U226">
        <f t="shared" si="21"/>
        <v>46</v>
      </c>
      <c r="V226">
        <f t="shared" si="21"/>
        <v>68</v>
      </c>
      <c r="W226" s="5">
        <f t="shared" si="19"/>
        <v>804</v>
      </c>
      <c r="X226" s="9" t="str">
        <f t="shared" si="20"/>
        <v>u804</v>
      </c>
    </row>
    <row r="227" spans="1:24" x14ac:dyDescent="0.2">
      <c r="A227" s="9" t="s">
        <v>425</v>
      </c>
      <c r="B227" s="9">
        <v>1</v>
      </c>
      <c r="C227" s="22">
        <v>5</v>
      </c>
      <c r="D227" s="25"/>
      <c r="E227" s="23">
        <v>45201</v>
      </c>
      <c r="F227" s="23" t="s">
        <v>363</v>
      </c>
      <c r="G227" s="25" t="s">
        <v>37</v>
      </c>
      <c r="H227" s="24">
        <v>0</v>
      </c>
      <c r="I227" s="25" t="s">
        <v>8</v>
      </c>
      <c r="J227" s="25" t="s">
        <v>7</v>
      </c>
      <c r="K227" s="25" t="s">
        <v>9</v>
      </c>
      <c r="L227" s="25">
        <f t="shared" si="18"/>
        <v>689</v>
      </c>
      <c r="M227" s="4" t="str">
        <f>IF(Table3[[#This Row],[Afrondingsdatum YB]]="N/A","-",Table3[[#This Row],[Afrondingsdatum YB]]-Table3[[#This Row],[StartDatum]])</f>
        <v>-</v>
      </c>
      <c r="N227" s="4"/>
      <c r="O227">
        <f t="shared" si="22"/>
        <v>106</v>
      </c>
      <c r="P227">
        <f t="shared" si="21"/>
        <v>117</v>
      </c>
      <c r="Q227">
        <f t="shared" si="21"/>
        <v>108</v>
      </c>
      <c r="R227">
        <f t="shared" si="21"/>
        <v>105</v>
      </c>
      <c r="S227">
        <f t="shared" si="21"/>
        <v>97</v>
      </c>
      <c r="T227">
        <f t="shared" si="21"/>
        <v>110</v>
      </c>
      <c r="U227">
        <f t="shared" si="21"/>
        <v>46</v>
      </c>
      <c r="V227">
        <f t="shared" si="21"/>
        <v>118</v>
      </c>
      <c r="W227" s="5">
        <f t="shared" si="19"/>
        <v>886</v>
      </c>
      <c r="X227" s="9" t="str">
        <f t="shared" si="20"/>
        <v>u886</v>
      </c>
    </row>
    <row r="228" spans="1:24" x14ac:dyDescent="0.2">
      <c r="A228" s="9" t="s">
        <v>425</v>
      </c>
      <c r="B228" s="9">
        <v>1</v>
      </c>
      <c r="C228" s="22">
        <v>5</v>
      </c>
      <c r="D228" s="25"/>
      <c r="E228" s="18">
        <v>45201</v>
      </c>
      <c r="F228" s="18" t="s">
        <v>363</v>
      </c>
      <c r="G228" s="20" t="s">
        <v>38</v>
      </c>
      <c r="H228" s="19">
        <v>0</v>
      </c>
      <c r="I228" s="20" t="s">
        <v>8</v>
      </c>
      <c r="J228" s="20" t="s">
        <v>7</v>
      </c>
      <c r="K228" s="20" t="s">
        <v>9</v>
      </c>
      <c r="L228" s="20">
        <f t="shared" si="18"/>
        <v>671</v>
      </c>
      <c r="M228" s="4" t="str">
        <f>IF(Table3[[#This Row],[Afrondingsdatum YB]]="N/A","-",Table3[[#This Row],[Afrondingsdatum YB]]-Table3[[#This Row],[StartDatum]])</f>
        <v>-</v>
      </c>
      <c r="N228" s="4"/>
      <c r="O228">
        <f t="shared" si="22"/>
        <v>107</v>
      </c>
      <c r="P228">
        <f t="shared" si="21"/>
        <v>97</v>
      </c>
      <c r="Q228">
        <f t="shared" si="21"/>
        <v>105</v>
      </c>
      <c r="R228">
        <f t="shared" si="21"/>
        <v>46</v>
      </c>
      <c r="S228">
        <f t="shared" si="21"/>
        <v>104</v>
      </c>
      <c r="T228">
        <f t="shared" si="21"/>
        <v>97</v>
      </c>
      <c r="U228">
        <f t="shared" si="21"/>
        <v>115</v>
      </c>
      <c r="V228">
        <f t="shared" si="21"/>
        <v>115</v>
      </c>
      <c r="W228" s="5">
        <f t="shared" si="19"/>
        <v>913</v>
      </c>
      <c r="X228" s="9" t="str">
        <f t="shared" si="20"/>
        <v>a913</v>
      </c>
    </row>
    <row r="229" spans="1:24" x14ac:dyDescent="0.2">
      <c r="A229" s="9" t="s">
        <v>425</v>
      </c>
      <c r="B229" s="9">
        <v>1</v>
      </c>
      <c r="C229" s="22">
        <v>5</v>
      </c>
      <c r="D229" s="25"/>
      <c r="E229" s="23">
        <v>45201</v>
      </c>
      <c r="F229" s="23" t="s">
        <v>362</v>
      </c>
      <c r="G229" s="25" t="s">
        <v>39</v>
      </c>
      <c r="H229" s="24">
        <v>0</v>
      </c>
      <c r="I229" s="25" t="s">
        <v>8</v>
      </c>
      <c r="J229" s="25" t="s">
        <v>7</v>
      </c>
      <c r="K229" s="25" t="s">
        <v>9</v>
      </c>
      <c r="L229" s="25">
        <f t="shared" si="18"/>
        <v>673</v>
      </c>
      <c r="M229" s="4" t="str">
        <f>IF(Table3[[#This Row],[Afrondingsdatum YB]]="N/A","-",Table3[[#This Row],[Afrondingsdatum YB]]-Table3[[#This Row],[StartDatum]])</f>
        <v>-</v>
      </c>
      <c r="N229" s="4"/>
      <c r="O229">
        <f t="shared" si="22"/>
        <v>107</v>
      </c>
      <c r="P229">
        <f t="shared" si="21"/>
        <v>101</v>
      </c>
      <c r="Q229">
        <f t="shared" si="21"/>
        <v>110</v>
      </c>
      <c r="R229">
        <f t="shared" si="21"/>
        <v>97</v>
      </c>
      <c r="S229">
        <f t="shared" si="21"/>
        <v>110</v>
      </c>
      <c r="T229">
        <f t="shared" si="21"/>
        <v>46</v>
      </c>
      <c r="U229">
        <f t="shared" si="21"/>
        <v>102</v>
      </c>
      <c r="V229">
        <f t="shared" si="21"/>
        <v>108</v>
      </c>
      <c r="W229" s="5">
        <f t="shared" si="19"/>
        <v>878</v>
      </c>
      <c r="X229" s="9" t="str">
        <f t="shared" si="20"/>
        <v>e878</v>
      </c>
    </row>
    <row r="230" spans="1:24" x14ac:dyDescent="0.2">
      <c r="A230" s="9" t="s">
        <v>425</v>
      </c>
      <c r="B230" s="9">
        <v>1</v>
      </c>
      <c r="C230" s="22">
        <v>5</v>
      </c>
      <c r="D230" s="25"/>
      <c r="E230" s="18">
        <v>45201</v>
      </c>
      <c r="F230" s="18" t="s">
        <v>363</v>
      </c>
      <c r="G230" s="20" t="s">
        <v>40</v>
      </c>
      <c r="H230" s="19">
        <v>0.02</v>
      </c>
      <c r="I230" s="20" t="s">
        <v>76</v>
      </c>
      <c r="J230" s="20" t="s">
        <v>7</v>
      </c>
      <c r="K230" s="20" t="s">
        <v>9</v>
      </c>
      <c r="L230" s="20">
        <f t="shared" si="18"/>
        <v>685</v>
      </c>
      <c r="M230" s="4" t="str">
        <f>IF(Table3[[#This Row],[Afrondingsdatum YB]]="N/A","-",Table3[[#This Row],[Afrondingsdatum YB]]-Table3[[#This Row],[StartDatum]])</f>
        <v>-</v>
      </c>
      <c r="N230" s="4"/>
      <c r="O230">
        <f t="shared" si="22"/>
        <v>107</v>
      </c>
      <c r="P230">
        <f t="shared" si="21"/>
        <v>101</v>
      </c>
      <c r="Q230">
        <f t="shared" si="21"/>
        <v>118</v>
      </c>
      <c r="R230">
        <f t="shared" si="21"/>
        <v>105</v>
      </c>
      <c r="S230">
        <f t="shared" si="21"/>
        <v>110</v>
      </c>
      <c r="T230">
        <f t="shared" si="21"/>
        <v>46</v>
      </c>
      <c r="U230">
        <f t="shared" si="21"/>
        <v>98</v>
      </c>
      <c r="V230">
        <f t="shared" si="21"/>
        <v>97</v>
      </c>
      <c r="W230" s="5">
        <f t="shared" si="19"/>
        <v>889</v>
      </c>
      <c r="X230" s="9" t="str">
        <f t="shared" si="20"/>
        <v>e889</v>
      </c>
    </row>
    <row r="231" spans="1:24" x14ac:dyDescent="0.2">
      <c r="A231" s="9" t="s">
        <v>425</v>
      </c>
      <c r="B231" s="9">
        <v>1</v>
      </c>
      <c r="C231" s="22">
        <v>5</v>
      </c>
      <c r="D231" s="25"/>
      <c r="E231" s="23">
        <v>45201</v>
      </c>
      <c r="F231" s="23" t="s">
        <v>363</v>
      </c>
      <c r="G231" s="25" t="s">
        <v>41</v>
      </c>
      <c r="H231" s="24">
        <v>0</v>
      </c>
      <c r="I231" s="25" t="s">
        <v>8</v>
      </c>
      <c r="J231" s="25" t="s">
        <v>7</v>
      </c>
      <c r="K231" s="25" t="s">
        <v>9</v>
      </c>
      <c r="L231" s="25">
        <f t="shared" si="18"/>
        <v>694</v>
      </c>
      <c r="M231" s="4" t="str">
        <f>IF(Table3[[#This Row],[Afrondingsdatum YB]]="N/A","-",Table3[[#This Row],[Afrondingsdatum YB]]-Table3[[#This Row],[StartDatum]])</f>
        <v>-</v>
      </c>
      <c r="N231" s="4"/>
      <c r="O231">
        <f t="shared" si="22"/>
        <v>107</v>
      </c>
      <c r="P231">
        <f t="shared" si="21"/>
        <v>106</v>
      </c>
      <c r="Q231">
        <f t="shared" si="21"/>
        <v>101</v>
      </c>
      <c r="R231">
        <f t="shared" si="21"/>
        <v>108</v>
      </c>
      <c r="S231">
        <f t="shared" si="21"/>
        <v>108</v>
      </c>
      <c r="T231">
        <f t="shared" si="21"/>
        <v>46</v>
      </c>
      <c r="U231">
        <f t="shared" si="21"/>
        <v>118</v>
      </c>
      <c r="V231">
        <f t="shared" si="21"/>
        <v>97</v>
      </c>
      <c r="W231" s="5">
        <f t="shared" si="19"/>
        <v>859</v>
      </c>
      <c r="X231" s="9" t="str">
        <f t="shared" si="20"/>
        <v>j859</v>
      </c>
    </row>
    <row r="232" spans="1:24" x14ac:dyDescent="0.2">
      <c r="A232" s="9" t="s">
        <v>425</v>
      </c>
      <c r="B232" s="9">
        <v>1</v>
      </c>
      <c r="C232" s="22">
        <v>5</v>
      </c>
      <c r="D232" s="25"/>
      <c r="E232" s="18">
        <v>45201</v>
      </c>
      <c r="F232" s="18" t="s">
        <v>362</v>
      </c>
      <c r="G232" s="20" t="s">
        <v>79</v>
      </c>
      <c r="H232" s="19">
        <v>0</v>
      </c>
      <c r="I232" s="20" t="s">
        <v>8</v>
      </c>
      <c r="J232" s="20" t="s">
        <v>7</v>
      </c>
      <c r="K232" s="20" t="s">
        <v>9</v>
      </c>
      <c r="L232" s="20">
        <f t="shared" si="18"/>
        <v>679</v>
      </c>
      <c r="M232" s="4" t="str">
        <f>IF(Table3[[#This Row],[Afrondingsdatum YB]]="N/A","-",Table3[[#This Row],[Afrondingsdatum YB]]-Table3[[#This Row],[StartDatum]])</f>
        <v>-</v>
      </c>
      <c r="N232" s="4"/>
      <c r="O232">
        <f t="shared" si="22"/>
        <v>108</v>
      </c>
      <c r="P232">
        <f t="shared" si="21"/>
        <v>97</v>
      </c>
      <c r="Q232">
        <f t="shared" si="21"/>
        <v>109</v>
      </c>
      <c r="R232">
        <f t="shared" si="21"/>
        <v>121</v>
      </c>
      <c r="S232">
        <f t="shared" si="21"/>
        <v>97</v>
      </c>
      <c r="T232">
        <f t="shared" si="21"/>
        <v>101</v>
      </c>
      <c r="U232">
        <f t="shared" si="21"/>
        <v>46</v>
      </c>
      <c r="V232">
        <f t="shared" si="21"/>
        <v>101</v>
      </c>
      <c r="W232" s="5">
        <f t="shared" si="19"/>
        <v>859</v>
      </c>
      <c r="X232" s="9" t="str">
        <f t="shared" si="20"/>
        <v>a859</v>
      </c>
    </row>
    <row r="233" spans="1:24" x14ac:dyDescent="0.2">
      <c r="A233" s="9" t="s">
        <v>425</v>
      </c>
      <c r="B233" s="9">
        <v>1</v>
      </c>
      <c r="C233" s="22">
        <v>5</v>
      </c>
      <c r="D233" s="25"/>
      <c r="E233" s="23">
        <v>45201</v>
      </c>
      <c r="F233" s="23" t="s">
        <v>363</v>
      </c>
      <c r="G233" s="25" t="s">
        <v>42</v>
      </c>
      <c r="H233" s="24">
        <v>0</v>
      </c>
      <c r="I233" s="25" t="s">
        <v>8</v>
      </c>
      <c r="J233" s="25" t="s">
        <v>7</v>
      </c>
      <c r="K233" s="25" t="s">
        <v>9</v>
      </c>
      <c r="L233" s="25">
        <f t="shared" si="18"/>
        <v>687</v>
      </c>
      <c r="M233" s="4" t="str">
        <f>IF(Table3[[#This Row],[Afrondingsdatum YB]]="N/A","-",Table3[[#This Row],[Afrondingsdatum YB]]-Table3[[#This Row],[StartDatum]])</f>
        <v>-</v>
      </c>
      <c r="N233" s="4"/>
      <c r="O233">
        <f t="shared" si="22"/>
        <v>108</v>
      </c>
      <c r="P233">
        <f t="shared" si="21"/>
        <v>105</v>
      </c>
      <c r="Q233">
        <f t="shared" si="21"/>
        <v>110</v>
      </c>
      <c r="R233">
        <f t="shared" si="21"/>
        <v>100</v>
      </c>
      <c r="S233">
        <f t="shared" si="21"/>
        <v>121</v>
      </c>
      <c r="T233">
        <f t="shared" si="21"/>
        <v>46</v>
      </c>
      <c r="U233">
        <f t="shared" si="21"/>
        <v>97</v>
      </c>
      <c r="V233">
        <f t="shared" si="21"/>
        <v>110</v>
      </c>
      <c r="W233" s="5">
        <f t="shared" si="19"/>
        <v>890</v>
      </c>
      <c r="X233" s="9" t="str">
        <f t="shared" si="20"/>
        <v>i890</v>
      </c>
    </row>
    <row r="234" spans="1:24" x14ac:dyDescent="0.2">
      <c r="A234" s="9" t="s">
        <v>425</v>
      </c>
      <c r="B234" s="9">
        <v>1</v>
      </c>
      <c r="C234" s="22">
        <v>5</v>
      </c>
      <c r="D234" s="25"/>
      <c r="E234" s="18">
        <v>45201</v>
      </c>
      <c r="F234" s="18" t="s">
        <v>363</v>
      </c>
      <c r="G234" s="20" t="s">
        <v>43</v>
      </c>
      <c r="H234" s="19">
        <v>0</v>
      </c>
      <c r="I234" s="20" t="s">
        <v>8</v>
      </c>
      <c r="J234" s="20" t="s">
        <v>7</v>
      </c>
      <c r="K234" s="20" t="s">
        <v>9</v>
      </c>
      <c r="L234" s="20">
        <f t="shared" si="18"/>
        <v>689</v>
      </c>
      <c r="M234" s="4" t="str">
        <f>IF(Table3[[#This Row],[Afrondingsdatum YB]]="N/A","-",Table3[[#This Row],[Afrondingsdatum YB]]-Table3[[#This Row],[StartDatum]])</f>
        <v>-</v>
      </c>
      <c r="N234" s="4"/>
      <c r="O234">
        <f t="shared" si="22"/>
        <v>108</v>
      </c>
      <c r="P234">
        <f t="shared" si="21"/>
        <v>117</v>
      </c>
      <c r="Q234">
        <f t="shared" si="21"/>
        <v>99</v>
      </c>
      <c r="R234">
        <f t="shared" si="21"/>
        <v>46</v>
      </c>
      <c r="S234">
        <f t="shared" si="21"/>
        <v>98</v>
      </c>
      <c r="T234">
        <f t="shared" si="21"/>
        <v>111</v>
      </c>
      <c r="U234">
        <f t="shared" si="21"/>
        <v>110</v>
      </c>
      <c r="V234">
        <f t="shared" si="21"/>
        <v>100</v>
      </c>
      <c r="W234" s="5">
        <f t="shared" si="19"/>
        <v>894</v>
      </c>
      <c r="X234" s="9" t="str">
        <f t="shared" si="20"/>
        <v>u894</v>
      </c>
    </row>
    <row r="235" spans="1:24" x14ac:dyDescent="0.2">
      <c r="A235" s="9" t="s">
        <v>425</v>
      </c>
      <c r="B235" s="9">
        <v>1</v>
      </c>
      <c r="C235" s="22">
        <v>5</v>
      </c>
      <c r="D235" s="25"/>
      <c r="E235" s="23">
        <v>45201</v>
      </c>
      <c r="F235" s="23" t="s">
        <v>364</v>
      </c>
      <c r="G235" s="25" t="s">
        <v>44</v>
      </c>
      <c r="H235" s="24">
        <v>0.1</v>
      </c>
      <c r="I235" s="25" t="s">
        <v>80</v>
      </c>
      <c r="J235" s="25" t="s">
        <v>7</v>
      </c>
      <c r="K235" s="25" t="s">
        <v>9</v>
      </c>
      <c r="L235" s="25">
        <f t="shared" si="18"/>
        <v>680</v>
      </c>
      <c r="M235" s="4" t="str">
        <f>IF(Table3[[#This Row],[Afrondingsdatum YB]]="N/A","-",Table3[[#This Row],[Afrondingsdatum YB]]-Table3[[#This Row],[StartDatum]])</f>
        <v>-</v>
      </c>
      <c r="N235" s="4"/>
      <c r="O235">
        <f t="shared" si="22"/>
        <v>108</v>
      </c>
      <c r="P235">
        <f t="shared" si="21"/>
        <v>117</v>
      </c>
      <c r="Q235">
        <f t="shared" si="21"/>
        <v>99</v>
      </c>
      <c r="R235">
        <f t="shared" si="21"/>
        <v>97</v>
      </c>
      <c r="S235">
        <f t="shared" si="21"/>
        <v>115</v>
      </c>
      <c r="T235">
        <f t="shared" si="21"/>
        <v>46</v>
      </c>
      <c r="U235">
        <f t="shared" si="21"/>
        <v>98</v>
      </c>
      <c r="V235">
        <f t="shared" si="21"/>
        <v>114</v>
      </c>
      <c r="W235" s="5">
        <f t="shared" si="19"/>
        <v>861</v>
      </c>
      <c r="X235" s="9" t="str">
        <f t="shared" si="20"/>
        <v>u861</v>
      </c>
    </row>
    <row r="236" spans="1:24" x14ac:dyDescent="0.2">
      <c r="A236" s="9" t="s">
        <v>425</v>
      </c>
      <c r="B236" s="9">
        <v>1</v>
      </c>
      <c r="C236" s="22">
        <v>5</v>
      </c>
      <c r="D236" s="25"/>
      <c r="E236" s="18">
        <v>45201</v>
      </c>
      <c r="F236" s="18" t="s">
        <v>363</v>
      </c>
      <c r="G236" s="20" t="s">
        <v>81</v>
      </c>
      <c r="H236" s="19">
        <v>0</v>
      </c>
      <c r="I236" s="20" t="s">
        <v>8</v>
      </c>
      <c r="J236" s="20" t="s">
        <v>7</v>
      </c>
      <c r="K236" s="20" t="s">
        <v>9</v>
      </c>
      <c r="L236" s="20">
        <f t="shared" si="18"/>
        <v>668</v>
      </c>
      <c r="M236" s="4" t="str">
        <f>IF(Table3[[#This Row],[Afrondingsdatum YB]]="N/A","-",Table3[[#This Row],[Afrondingsdatum YB]]-Table3[[#This Row],[StartDatum]])</f>
        <v>-</v>
      </c>
      <c r="N236" s="4"/>
      <c r="O236">
        <f t="shared" si="22"/>
        <v>76</v>
      </c>
      <c r="P236">
        <f t="shared" si="21"/>
        <v>117</v>
      </c>
      <c r="Q236">
        <f t="shared" si="21"/>
        <v>99</v>
      </c>
      <c r="R236">
        <f t="shared" si="21"/>
        <v>97</v>
      </c>
      <c r="S236">
        <f t="shared" si="21"/>
        <v>115</v>
      </c>
      <c r="T236">
        <f t="shared" si="21"/>
        <v>46</v>
      </c>
      <c r="U236">
        <f t="shared" si="21"/>
        <v>118</v>
      </c>
      <c r="V236">
        <f t="shared" si="21"/>
        <v>97</v>
      </c>
      <c r="W236" s="5">
        <f t="shared" si="19"/>
        <v>832</v>
      </c>
      <c r="X236" s="9" t="str">
        <f t="shared" si="20"/>
        <v>u832</v>
      </c>
    </row>
    <row r="237" spans="1:24" x14ac:dyDescent="0.2">
      <c r="A237" s="9" t="s">
        <v>425</v>
      </c>
      <c r="B237" s="9">
        <v>1</v>
      </c>
      <c r="C237" s="22">
        <v>5</v>
      </c>
      <c r="D237" s="25"/>
      <c r="E237" s="23">
        <v>45201</v>
      </c>
      <c r="F237" s="23" t="s">
        <v>364</v>
      </c>
      <c r="G237" s="25" t="s">
        <v>45</v>
      </c>
      <c r="H237" s="24">
        <v>0.26</v>
      </c>
      <c r="I237" s="25" t="s">
        <v>126</v>
      </c>
      <c r="J237" s="25" t="s">
        <v>7</v>
      </c>
      <c r="K237" s="25" t="s">
        <v>9</v>
      </c>
      <c r="L237" s="25">
        <f t="shared" si="18"/>
        <v>757</v>
      </c>
      <c r="M237" s="4" t="str">
        <f>IF(Table3[[#This Row],[Afrondingsdatum YB]]="N/A","-",Table3[[#This Row],[Afrondingsdatum YB]]-Table3[[#This Row],[StartDatum]])</f>
        <v>-</v>
      </c>
      <c r="N237" s="4"/>
      <c r="O237">
        <f t="shared" si="22"/>
        <v>109</v>
      </c>
      <c r="P237">
        <f t="shared" si="21"/>
        <v>97</v>
      </c>
      <c r="Q237">
        <f t="shared" si="21"/>
        <v>114</v>
      </c>
      <c r="R237">
        <f t="shared" si="21"/>
        <v>116</v>
      </c>
      <c r="S237">
        <f t="shared" si="21"/>
        <v>105</v>
      </c>
      <c r="T237">
        <f t="shared" si="21"/>
        <v>106</v>
      </c>
      <c r="U237">
        <f t="shared" si="21"/>
        <v>110</v>
      </c>
      <c r="V237">
        <f t="shared" si="21"/>
        <v>46</v>
      </c>
      <c r="W237" s="5">
        <f t="shared" si="19"/>
        <v>896</v>
      </c>
      <c r="X237" s="9" t="str">
        <f t="shared" si="20"/>
        <v>a896</v>
      </c>
    </row>
    <row r="238" spans="1:24" x14ac:dyDescent="0.2">
      <c r="A238" s="9" t="s">
        <v>425</v>
      </c>
      <c r="B238" s="9">
        <v>1</v>
      </c>
      <c r="C238" s="22">
        <v>5</v>
      </c>
      <c r="D238" s="25"/>
      <c r="E238" s="18">
        <v>45201</v>
      </c>
      <c r="F238" s="18" t="s">
        <v>364</v>
      </c>
      <c r="G238" s="20" t="s">
        <v>46</v>
      </c>
      <c r="H238" s="19">
        <v>0.09</v>
      </c>
      <c r="I238" s="20" t="s">
        <v>101</v>
      </c>
      <c r="J238" s="20" t="s">
        <v>7</v>
      </c>
      <c r="K238" s="20" t="s">
        <v>9</v>
      </c>
      <c r="L238" s="20">
        <f t="shared" si="18"/>
        <v>682</v>
      </c>
      <c r="M238" s="4" t="str">
        <f>IF(Table3[[#This Row],[Afrondingsdatum YB]]="N/A","-",Table3[[#This Row],[Afrondingsdatum YB]]-Table3[[#This Row],[StartDatum]])</f>
        <v>-</v>
      </c>
      <c r="N238" s="4"/>
      <c r="O238">
        <f t="shared" si="22"/>
        <v>109</v>
      </c>
      <c r="P238">
        <f t="shared" si="21"/>
        <v>97</v>
      </c>
      <c r="Q238">
        <f t="shared" si="21"/>
        <v>114</v>
      </c>
      <c r="R238">
        <f t="shared" si="21"/>
        <v>119</v>
      </c>
      <c r="S238">
        <f t="shared" si="21"/>
        <v>97</v>
      </c>
      <c r="T238">
        <f t="shared" si="21"/>
        <v>46</v>
      </c>
      <c r="U238">
        <f t="shared" si="21"/>
        <v>100</v>
      </c>
      <c r="V238">
        <f t="shared" si="21"/>
        <v>97</v>
      </c>
      <c r="W238" s="5">
        <f t="shared" si="19"/>
        <v>869</v>
      </c>
      <c r="X238" s="9" t="str">
        <f t="shared" si="20"/>
        <v>a869</v>
      </c>
    </row>
    <row r="239" spans="1:24" x14ac:dyDescent="0.2">
      <c r="A239" s="9" t="s">
        <v>425</v>
      </c>
      <c r="B239" s="9">
        <v>1</v>
      </c>
      <c r="C239" s="22">
        <v>5</v>
      </c>
      <c r="D239" s="25"/>
      <c r="E239" s="23">
        <v>45201</v>
      </c>
      <c r="F239" s="23" t="s">
        <v>364</v>
      </c>
      <c r="G239" s="25" t="s">
        <v>47</v>
      </c>
      <c r="H239" s="24">
        <v>0</v>
      </c>
      <c r="I239" s="25" t="s">
        <v>8</v>
      </c>
      <c r="J239" s="25" t="s">
        <v>7</v>
      </c>
      <c r="K239" s="25" t="s">
        <v>9</v>
      </c>
      <c r="L239" s="25">
        <f t="shared" si="18"/>
        <v>673</v>
      </c>
      <c r="M239" s="4" t="str">
        <f>IF(Table3[[#This Row],[Afrondingsdatum YB]]="N/A","-",Table3[[#This Row],[Afrondingsdatum YB]]-Table3[[#This Row],[StartDatum]])</f>
        <v>-</v>
      </c>
      <c r="N239" s="4"/>
      <c r="O239">
        <f t="shared" si="22"/>
        <v>109</v>
      </c>
      <c r="P239">
        <f t="shared" si="21"/>
        <v>101</v>
      </c>
      <c r="Q239">
        <f t="shared" si="21"/>
        <v>101</v>
      </c>
      <c r="R239">
        <f t="shared" si="21"/>
        <v>115</v>
      </c>
      <c r="S239">
        <f t="shared" si="21"/>
        <v>46</v>
      </c>
      <c r="T239">
        <f t="shared" si="21"/>
        <v>100</v>
      </c>
      <c r="U239">
        <f t="shared" si="21"/>
        <v>101</v>
      </c>
      <c r="V239">
        <f t="shared" si="21"/>
        <v>46</v>
      </c>
      <c r="W239" s="5">
        <f t="shared" si="19"/>
        <v>784</v>
      </c>
      <c r="X239" s="9" t="str">
        <f t="shared" si="20"/>
        <v>e784</v>
      </c>
    </row>
    <row r="240" spans="1:24" x14ac:dyDescent="0.2">
      <c r="A240" s="9" t="s">
        <v>425</v>
      </c>
      <c r="B240" s="9">
        <v>1</v>
      </c>
      <c r="C240" s="22">
        <v>5</v>
      </c>
      <c r="D240" s="25"/>
      <c r="E240" s="18">
        <v>45201</v>
      </c>
      <c r="F240" s="18" t="s">
        <v>363</v>
      </c>
      <c r="G240" s="20" t="s">
        <v>48</v>
      </c>
      <c r="H240" s="19">
        <v>0.02</v>
      </c>
      <c r="I240" s="20" t="s">
        <v>92</v>
      </c>
      <c r="J240" s="20" t="s">
        <v>7</v>
      </c>
      <c r="K240" s="20" t="s">
        <v>9</v>
      </c>
      <c r="L240" s="20">
        <f t="shared" si="18"/>
        <v>675</v>
      </c>
      <c r="M240" s="4" t="str">
        <f>IF(Table3[[#This Row],[Afrondingsdatum YB]]="N/A","-",Table3[[#This Row],[Afrondingsdatum YB]]-Table3[[#This Row],[StartDatum]])</f>
        <v>-</v>
      </c>
      <c r="N240" s="4"/>
      <c r="O240">
        <f t="shared" si="22"/>
        <v>109</v>
      </c>
      <c r="P240">
        <f t="shared" si="21"/>
        <v>105</v>
      </c>
      <c r="Q240">
        <f t="shared" si="21"/>
        <v>108</v>
      </c>
      <c r="R240">
        <f t="shared" si="21"/>
        <v>97</v>
      </c>
      <c r="S240">
        <f t="shared" si="21"/>
        <v>110</v>
      </c>
      <c r="T240">
        <f t="shared" si="21"/>
        <v>46</v>
      </c>
      <c r="U240">
        <f t="shared" si="21"/>
        <v>100</v>
      </c>
      <c r="V240">
        <f t="shared" si="21"/>
        <v>105</v>
      </c>
      <c r="W240" s="5">
        <f t="shared" si="19"/>
        <v>871</v>
      </c>
      <c r="X240" s="9" t="str">
        <f t="shared" si="20"/>
        <v>i871</v>
      </c>
    </row>
    <row r="241" spans="1:24" x14ac:dyDescent="0.2">
      <c r="A241" s="9" t="s">
        <v>425</v>
      </c>
      <c r="B241" s="9">
        <v>1</v>
      </c>
      <c r="C241" s="22">
        <v>5</v>
      </c>
      <c r="D241" s="25"/>
      <c r="E241" s="23">
        <v>45201</v>
      </c>
      <c r="F241" s="23" t="s">
        <v>364</v>
      </c>
      <c r="G241" s="25" t="s">
        <v>49</v>
      </c>
      <c r="H241" s="24">
        <v>0.11</v>
      </c>
      <c r="I241" s="25" t="s">
        <v>83</v>
      </c>
      <c r="J241" s="25" t="s">
        <v>7</v>
      </c>
      <c r="K241" s="25" t="s">
        <v>9</v>
      </c>
      <c r="L241" s="25">
        <f t="shared" si="18"/>
        <v>690</v>
      </c>
      <c r="M241" s="4" t="str">
        <f>IF(Table3[[#This Row],[Afrondingsdatum YB]]="N/A","-",Table3[[#This Row],[Afrondingsdatum YB]]-Table3[[#This Row],[StartDatum]])</f>
        <v>-</v>
      </c>
      <c r="N241" s="4"/>
      <c r="O241">
        <f t="shared" si="22"/>
        <v>109</v>
      </c>
      <c r="P241">
        <f t="shared" si="21"/>
        <v>105</v>
      </c>
      <c r="Q241">
        <f t="shared" si="21"/>
        <v>114</v>
      </c>
      <c r="R241">
        <f t="shared" si="21"/>
        <v>110</v>
      </c>
      <c r="S241">
        <f t="shared" si="21"/>
        <v>97</v>
      </c>
      <c r="T241">
        <f t="shared" si="21"/>
        <v>46</v>
      </c>
      <c r="U241">
        <f t="shared" si="21"/>
        <v>109</v>
      </c>
      <c r="V241">
        <f t="shared" si="21"/>
        <v>111</v>
      </c>
      <c r="W241" s="5">
        <f t="shared" si="19"/>
        <v>894</v>
      </c>
      <c r="X241" s="9" t="str">
        <f t="shared" si="20"/>
        <v>i894</v>
      </c>
    </row>
    <row r="242" spans="1:24" x14ac:dyDescent="0.2">
      <c r="A242" s="9" t="s">
        <v>425</v>
      </c>
      <c r="B242" s="9">
        <v>1</v>
      </c>
      <c r="C242" s="22">
        <v>5</v>
      </c>
      <c r="D242" s="25"/>
      <c r="E242" s="18">
        <v>45201</v>
      </c>
      <c r="F242" s="18" t="s">
        <v>364</v>
      </c>
      <c r="G242" s="20" t="s">
        <v>50</v>
      </c>
      <c r="H242" s="19">
        <v>0.19</v>
      </c>
      <c r="I242" s="20" t="s">
        <v>102</v>
      </c>
      <c r="J242" s="20" t="s">
        <v>7</v>
      </c>
      <c r="K242" s="20" t="s">
        <v>9</v>
      </c>
      <c r="L242" s="20">
        <f t="shared" si="18"/>
        <v>731</v>
      </c>
      <c r="M242" s="4" t="str">
        <f>IF(Table3[[#This Row],[Afrondingsdatum YB]]="N/A","-",Table3[[#This Row],[Afrondingsdatum YB]]-Table3[[#This Row],[StartDatum]])</f>
        <v>-</v>
      </c>
      <c r="N242" s="4"/>
      <c r="O242">
        <f t="shared" si="22"/>
        <v>109</v>
      </c>
      <c r="P242">
        <f t="shared" si="21"/>
        <v>111</v>
      </c>
      <c r="Q242">
        <f t="shared" si="21"/>
        <v>104</v>
      </c>
      <c r="R242">
        <f t="shared" si="21"/>
        <v>97</v>
      </c>
      <c r="S242">
        <f t="shared" si="21"/>
        <v>109</v>
      </c>
      <c r="T242">
        <f t="shared" si="21"/>
        <v>101</v>
      </c>
      <c r="U242">
        <f t="shared" si="21"/>
        <v>100</v>
      </c>
      <c r="V242">
        <f t="shared" si="21"/>
        <v>46</v>
      </c>
      <c r="W242" s="5">
        <f t="shared" si="19"/>
        <v>857</v>
      </c>
      <c r="X242" s="9" t="str">
        <f t="shared" si="20"/>
        <v>o857</v>
      </c>
    </row>
    <row r="243" spans="1:24" x14ac:dyDescent="0.2">
      <c r="A243" s="9" t="s">
        <v>425</v>
      </c>
      <c r="B243" s="9">
        <v>1</v>
      </c>
      <c r="C243" s="22">
        <v>5</v>
      </c>
      <c r="D243" s="25"/>
      <c r="E243" s="23">
        <v>45201</v>
      </c>
      <c r="F243" s="23" t="s">
        <v>362</v>
      </c>
      <c r="G243" s="25" t="s">
        <v>127</v>
      </c>
      <c r="H243" s="24">
        <v>0</v>
      </c>
      <c r="I243" s="25" t="s">
        <v>8</v>
      </c>
      <c r="J243" s="25" t="s">
        <v>7</v>
      </c>
      <c r="K243" s="25" t="s">
        <v>9</v>
      </c>
      <c r="L243" s="25">
        <f t="shared" si="18"/>
        <v>758</v>
      </c>
      <c r="M243" s="4" t="str">
        <f>IF(Table3[[#This Row],[Afrondingsdatum YB]]="N/A","-",Table3[[#This Row],[Afrondingsdatum YB]]-Table3[[#This Row],[StartDatum]])</f>
        <v>-</v>
      </c>
      <c r="N243" s="4"/>
      <c r="O243">
        <f t="shared" si="22"/>
        <v>109</v>
      </c>
      <c r="P243">
        <f t="shared" si="21"/>
        <v>111</v>
      </c>
      <c r="Q243">
        <f t="shared" si="21"/>
        <v>107</v>
      </c>
      <c r="R243">
        <f t="shared" si="21"/>
        <v>104</v>
      </c>
      <c r="S243">
        <f t="shared" si="21"/>
        <v>116</v>
      </c>
      <c r="T243">
        <f t="shared" si="21"/>
        <v>97</v>
      </c>
      <c r="U243">
        <f t="shared" si="21"/>
        <v>114</v>
      </c>
      <c r="V243">
        <f t="shared" si="21"/>
        <v>46</v>
      </c>
      <c r="W243" s="5">
        <f t="shared" si="19"/>
        <v>885</v>
      </c>
      <c r="X243" s="9" t="str">
        <f t="shared" si="20"/>
        <v>o885</v>
      </c>
    </row>
    <row r="244" spans="1:24" x14ac:dyDescent="0.2">
      <c r="A244" s="9" t="s">
        <v>425</v>
      </c>
      <c r="B244" s="9">
        <v>1</v>
      </c>
      <c r="C244" s="22">
        <v>5</v>
      </c>
      <c r="D244" s="25"/>
      <c r="E244" s="18">
        <v>45201</v>
      </c>
      <c r="F244" s="18" t="s">
        <v>363</v>
      </c>
      <c r="G244" s="20" t="s">
        <v>51</v>
      </c>
      <c r="H244" s="19">
        <v>0.17</v>
      </c>
      <c r="I244" s="20" t="s">
        <v>128</v>
      </c>
      <c r="J244" s="20" t="s">
        <v>7</v>
      </c>
      <c r="K244" s="20" t="s">
        <v>9</v>
      </c>
      <c r="L244" s="20">
        <f t="shared" si="18"/>
        <v>742</v>
      </c>
      <c r="M244" s="4" t="str">
        <f>IF(Table3[[#This Row],[Afrondingsdatum YB]]="N/A","-",Table3[[#This Row],[Afrondingsdatum YB]]-Table3[[#This Row],[StartDatum]])</f>
        <v>-</v>
      </c>
      <c r="N244" s="4"/>
      <c r="O244">
        <f t="shared" si="22"/>
        <v>110</v>
      </c>
      <c r="P244">
        <f t="shared" si="21"/>
        <v>97</v>
      </c>
      <c r="Q244">
        <f t="shared" si="21"/>
        <v>111</v>
      </c>
      <c r="R244">
        <f t="shared" si="21"/>
        <v>117</v>
      </c>
      <c r="S244">
        <f t="shared" si="21"/>
        <v>102</v>
      </c>
      <c r="T244">
        <f t="shared" si="21"/>
        <v>97</v>
      </c>
      <c r="U244">
        <f t="shared" si="21"/>
        <v>108</v>
      </c>
      <c r="V244">
        <f t="shared" si="21"/>
        <v>46</v>
      </c>
      <c r="W244" s="5">
        <f t="shared" si="19"/>
        <v>874</v>
      </c>
      <c r="X244" s="9" t="str">
        <f t="shared" si="20"/>
        <v>a874</v>
      </c>
    </row>
    <row r="245" spans="1:24" x14ac:dyDescent="0.2">
      <c r="A245" s="9" t="s">
        <v>425</v>
      </c>
      <c r="B245" s="9">
        <v>1</v>
      </c>
      <c r="C245" s="22">
        <v>5</v>
      </c>
      <c r="D245" s="25"/>
      <c r="E245" s="23">
        <v>45201</v>
      </c>
      <c r="F245" s="23" t="s">
        <v>362</v>
      </c>
      <c r="G245" s="25" t="s">
        <v>52</v>
      </c>
      <c r="H245" s="24">
        <v>0</v>
      </c>
      <c r="I245" s="25" t="s">
        <v>8</v>
      </c>
      <c r="J245" s="25" t="s">
        <v>7</v>
      </c>
      <c r="K245" s="25" t="s">
        <v>9</v>
      </c>
      <c r="L245" s="25">
        <f t="shared" si="18"/>
        <v>684</v>
      </c>
      <c r="M245" s="4" t="str">
        <f>IF(Table3[[#This Row],[Afrondingsdatum YB]]="N/A","-",Table3[[#This Row],[Afrondingsdatum YB]]-Table3[[#This Row],[StartDatum]])</f>
        <v>-</v>
      </c>
      <c r="N245" s="4"/>
      <c r="O245">
        <f t="shared" si="22"/>
        <v>110</v>
      </c>
      <c r="P245">
        <f t="shared" si="21"/>
        <v>105</v>
      </c>
      <c r="Q245">
        <f t="shared" si="21"/>
        <v>99</v>
      </c>
      <c r="R245">
        <f t="shared" si="21"/>
        <v>107</v>
      </c>
      <c r="S245">
        <f t="shared" si="21"/>
        <v>46</v>
      </c>
      <c r="T245">
        <f t="shared" si="21"/>
        <v>106</v>
      </c>
      <c r="U245">
        <f t="shared" si="21"/>
        <v>111</v>
      </c>
      <c r="V245">
        <f t="shared" si="21"/>
        <v>111</v>
      </c>
      <c r="W245" s="5">
        <f t="shared" si="19"/>
        <v>860</v>
      </c>
      <c r="X245" s="9" t="str">
        <f t="shared" si="20"/>
        <v>i860</v>
      </c>
    </row>
    <row r="246" spans="1:24" x14ac:dyDescent="0.2">
      <c r="A246" s="9" t="s">
        <v>425</v>
      </c>
      <c r="B246" s="9">
        <v>1</v>
      </c>
      <c r="C246" s="22">
        <v>5</v>
      </c>
      <c r="D246" s="25"/>
      <c r="E246" s="18">
        <v>45201</v>
      </c>
      <c r="F246" s="18" t="s">
        <v>364</v>
      </c>
      <c r="G246" s="20" t="s">
        <v>53</v>
      </c>
      <c r="H246" s="19">
        <v>0</v>
      </c>
      <c r="I246" s="20" t="s">
        <v>8</v>
      </c>
      <c r="J246" s="20" t="s">
        <v>7</v>
      </c>
      <c r="K246" s="20" t="s">
        <v>9</v>
      </c>
      <c r="L246" s="20">
        <f t="shared" si="18"/>
        <v>737</v>
      </c>
      <c r="M246" s="4" t="str">
        <f>IF(Table3[[#This Row],[Afrondingsdatum YB]]="N/A","-",Table3[[#This Row],[Afrondingsdatum YB]]-Table3[[#This Row],[StartDatum]])</f>
        <v>-</v>
      </c>
      <c r="N246" s="4"/>
      <c r="O246">
        <f t="shared" si="22"/>
        <v>110</v>
      </c>
      <c r="P246">
        <f t="shared" si="21"/>
        <v>105</v>
      </c>
      <c r="Q246">
        <f t="shared" si="21"/>
        <v>99</v>
      </c>
      <c r="R246">
        <f t="shared" si="21"/>
        <v>107</v>
      </c>
      <c r="S246">
        <f t="shared" si="21"/>
        <v>111</v>
      </c>
      <c r="T246">
        <f t="shared" si="21"/>
        <v>108</v>
      </c>
      <c r="U246">
        <f t="shared" si="21"/>
        <v>97</v>
      </c>
      <c r="V246">
        <f t="shared" si="21"/>
        <v>115</v>
      </c>
      <c r="W246" s="5">
        <f t="shared" si="19"/>
        <v>917</v>
      </c>
      <c r="X246" s="9" t="str">
        <f t="shared" si="20"/>
        <v>i917</v>
      </c>
    </row>
    <row r="247" spans="1:24" x14ac:dyDescent="0.2">
      <c r="A247" s="9" t="s">
        <v>425</v>
      </c>
      <c r="B247" s="9">
        <v>1</v>
      </c>
      <c r="C247" s="22">
        <v>5</v>
      </c>
      <c r="D247" s="25"/>
      <c r="E247" s="23">
        <v>45201</v>
      </c>
      <c r="F247" s="23" t="s">
        <v>364</v>
      </c>
      <c r="G247" s="25" t="s">
        <v>54</v>
      </c>
      <c r="H247" s="24">
        <v>0</v>
      </c>
      <c r="I247" s="25" t="s">
        <v>8</v>
      </c>
      <c r="J247" s="25" t="s">
        <v>7</v>
      </c>
      <c r="K247" s="25" t="s">
        <v>9</v>
      </c>
      <c r="L247" s="25">
        <f t="shared" si="18"/>
        <v>705</v>
      </c>
      <c r="M247" s="4" t="str">
        <f>IF(Table3[[#This Row],[Afrondingsdatum YB]]="N/A","-",Table3[[#This Row],[Afrondingsdatum YB]]-Table3[[#This Row],[StartDatum]])</f>
        <v>-</v>
      </c>
      <c r="N247" s="4"/>
      <c r="O247">
        <f t="shared" si="22"/>
        <v>110</v>
      </c>
      <c r="P247">
        <f t="shared" si="21"/>
        <v>105</v>
      </c>
      <c r="Q247">
        <f t="shared" si="21"/>
        <v>115</v>
      </c>
      <c r="R247">
        <f t="shared" si="21"/>
        <v>114</v>
      </c>
      <c r="S247">
        <f t="shared" si="21"/>
        <v>105</v>
      </c>
      <c r="T247">
        <f t="shared" si="21"/>
        <v>110</v>
      </c>
      <c r="U247">
        <f t="shared" si="21"/>
        <v>46</v>
      </c>
      <c r="V247">
        <f t="shared" si="21"/>
        <v>104</v>
      </c>
      <c r="W247" s="5">
        <f t="shared" si="19"/>
        <v>901</v>
      </c>
      <c r="X247" s="9" t="str">
        <f t="shared" si="20"/>
        <v>i901</v>
      </c>
    </row>
    <row r="248" spans="1:24" x14ac:dyDescent="0.2">
      <c r="A248" s="9" t="s">
        <v>425</v>
      </c>
      <c r="B248" s="9">
        <v>1</v>
      </c>
      <c r="C248" s="22">
        <v>5</v>
      </c>
      <c r="D248" s="25"/>
      <c r="E248" s="18">
        <v>45201</v>
      </c>
      <c r="F248" s="18" t="s">
        <v>364</v>
      </c>
      <c r="G248" s="20" t="s">
        <v>55</v>
      </c>
      <c r="H248" s="19">
        <v>0.13</v>
      </c>
      <c r="I248" s="20" t="s">
        <v>104</v>
      </c>
      <c r="J248" s="20" t="s">
        <v>7</v>
      </c>
      <c r="K248" s="20" t="s">
        <v>9</v>
      </c>
      <c r="L248" s="20">
        <f t="shared" si="18"/>
        <v>681</v>
      </c>
      <c r="M248" s="4" t="str">
        <f>IF(Table3[[#This Row],[Afrondingsdatum YB]]="N/A","-",Table3[[#This Row],[Afrondingsdatum YB]]-Table3[[#This Row],[StartDatum]])</f>
        <v>-</v>
      </c>
      <c r="N248" s="4"/>
      <c r="O248">
        <f t="shared" si="22"/>
        <v>110</v>
      </c>
      <c r="P248">
        <f t="shared" si="21"/>
        <v>111</v>
      </c>
      <c r="Q248">
        <f t="shared" si="21"/>
        <v>101</v>
      </c>
      <c r="R248">
        <f t="shared" si="21"/>
        <v>108</v>
      </c>
      <c r="S248">
        <f t="shared" si="21"/>
        <v>108</v>
      </c>
      <c r="T248">
        <f t="shared" si="21"/>
        <v>97</v>
      </c>
      <c r="U248">
        <f t="shared" si="21"/>
        <v>46</v>
      </c>
      <c r="V248">
        <f t="shared" si="21"/>
        <v>108</v>
      </c>
      <c r="W248" s="5">
        <f t="shared" si="19"/>
        <v>855</v>
      </c>
      <c r="X248" s="9" t="str">
        <f t="shared" si="20"/>
        <v>o855</v>
      </c>
    </row>
    <row r="249" spans="1:24" x14ac:dyDescent="0.2">
      <c r="A249" s="9" t="s">
        <v>425</v>
      </c>
      <c r="B249" s="9">
        <v>1</v>
      </c>
      <c r="C249" s="22">
        <v>5</v>
      </c>
      <c r="D249" s="25"/>
      <c r="E249" s="23">
        <v>45201</v>
      </c>
      <c r="F249" s="23" t="s">
        <v>363</v>
      </c>
      <c r="G249" s="25" t="s">
        <v>56</v>
      </c>
      <c r="H249" s="24">
        <v>0.53</v>
      </c>
      <c r="I249" s="25" t="s">
        <v>107</v>
      </c>
      <c r="J249" s="25" t="s">
        <v>7</v>
      </c>
      <c r="K249" s="25" t="s">
        <v>9</v>
      </c>
      <c r="L249" s="25">
        <f t="shared" si="18"/>
        <v>708</v>
      </c>
      <c r="M249" s="4" t="str">
        <f>IF(Table3[[#This Row],[Afrondingsdatum YB]]="N/A","-",Table3[[#This Row],[Afrondingsdatum YB]]-Table3[[#This Row],[StartDatum]])</f>
        <v>-</v>
      </c>
      <c r="N249" s="4"/>
      <c r="O249">
        <f t="shared" si="22"/>
        <v>110</v>
      </c>
      <c r="P249">
        <f t="shared" si="21"/>
        <v>117</v>
      </c>
      <c r="Q249">
        <f t="shared" si="21"/>
        <v>112</v>
      </c>
      <c r="R249">
        <f t="shared" si="21"/>
        <v>101</v>
      </c>
      <c r="S249">
        <f t="shared" si="21"/>
        <v>108</v>
      </c>
      <c r="T249">
        <f t="shared" si="21"/>
        <v>46</v>
      </c>
      <c r="U249">
        <f t="shared" si="21"/>
        <v>114</v>
      </c>
      <c r="V249">
        <f t="shared" si="21"/>
        <v>117</v>
      </c>
      <c r="W249" s="5">
        <f t="shared" si="19"/>
        <v>915</v>
      </c>
      <c r="X249" s="9" t="str">
        <f t="shared" si="20"/>
        <v>u915</v>
      </c>
    </row>
    <row r="250" spans="1:24" x14ac:dyDescent="0.2">
      <c r="A250" s="9" t="s">
        <v>425</v>
      </c>
      <c r="B250" s="9">
        <v>1</v>
      </c>
      <c r="C250" s="22">
        <v>5</v>
      </c>
      <c r="D250" s="25"/>
      <c r="E250" s="18">
        <v>45201</v>
      </c>
      <c r="F250" s="18" t="s">
        <v>364</v>
      </c>
      <c r="G250" s="20" t="s">
        <v>57</v>
      </c>
      <c r="H250" s="19">
        <v>0.13</v>
      </c>
      <c r="I250" s="20" t="s">
        <v>105</v>
      </c>
      <c r="J250" s="20" t="s">
        <v>7</v>
      </c>
      <c r="K250" s="20" t="s">
        <v>9</v>
      </c>
      <c r="L250" s="20">
        <f t="shared" si="18"/>
        <v>762</v>
      </c>
      <c r="M250" s="4" t="str">
        <f>IF(Table3[[#This Row],[Afrondingsdatum YB]]="N/A","-",Table3[[#This Row],[Afrondingsdatum YB]]-Table3[[#This Row],[StartDatum]])</f>
        <v>-</v>
      </c>
      <c r="N250" s="4"/>
      <c r="O250">
        <f t="shared" si="22"/>
        <v>111</v>
      </c>
      <c r="P250">
        <f t="shared" si="21"/>
        <v>108</v>
      </c>
      <c r="Q250">
        <f t="shared" si="21"/>
        <v>105</v>
      </c>
      <c r="R250">
        <f t="shared" si="21"/>
        <v>118</v>
      </c>
      <c r="S250">
        <f t="shared" si="21"/>
        <v>105</v>
      </c>
      <c r="T250">
        <f t="shared" si="21"/>
        <v>101</v>
      </c>
      <c r="U250">
        <f t="shared" si="21"/>
        <v>114</v>
      </c>
      <c r="V250">
        <f t="shared" si="21"/>
        <v>46</v>
      </c>
      <c r="W250" s="5">
        <f t="shared" si="19"/>
        <v>876</v>
      </c>
      <c r="X250" s="9" t="str">
        <f t="shared" si="20"/>
        <v>l876</v>
      </c>
    </row>
    <row r="251" spans="1:24" x14ac:dyDescent="0.2">
      <c r="A251" s="9" t="s">
        <v>425</v>
      </c>
      <c r="B251" s="9">
        <v>1</v>
      </c>
      <c r="C251" s="22">
        <v>5</v>
      </c>
      <c r="D251" s="25"/>
      <c r="E251" s="23">
        <v>45201</v>
      </c>
      <c r="F251" s="23" t="s">
        <v>362</v>
      </c>
      <c r="G251" s="25" t="s">
        <v>58</v>
      </c>
      <c r="H251" s="24">
        <v>0.05</v>
      </c>
      <c r="I251" s="25" t="s">
        <v>82</v>
      </c>
      <c r="J251" s="25" t="s">
        <v>7</v>
      </c>
      <c r="K251" s="25" t="s">
        <v>9</v>
      </c>
      <c r="L251" s="25">
        <f t="shared" si="18"/>
        <v>681</v>
      </c>
      <c r="M251" s="4" t="str">
        <f>IF(Table3[[#This Row],[Afrondingsdatum YB]]="N/A","-",Table3[[#This Row],[Afrondingsdatum YB]]-Table3[[#This Row],[StartDatum]])</f>
        <v>-</v>
      </c>
      <c r="N251" s="4"/>
      <c r="O251">
        <f t="shared" si="22"/>
        <v>112</v>
      </c>
      <c r="P251">
        <f t="shared" si="21"/>
        <v>97</v>
      </c>
      <c r="Q251">
        <f t="shared" si="21"/>
        <v>117</v>
      </c>
      <c r="R251">
        <f t="shared" si="21"/>
        <v>108</v>
      </c>
      <c r="S251">
        <f t="shared" si="21"/>
        <v>46</v>
      </c>
      <c r="T251">
        <f t="shared" si="21"/>
        <v>100</v>
      </c>
      <c r="U251">
        <f t="shared" si="21"/>
        <v>101</v>
      </c>
      <c r="V251">
        <f t="shared" si="21"/>
        <v>46</v>
      </c>
      <c r="W251" s="5">
        <f t="shared" si="19"/>
        <v>832</v>
      </c>
      <c r="X251" s="9" t="str">
        <f t="shared" si="20"/>
        <v>a832</v>
      </c>
    </row>
    <row r="252" spans="1:24" x14ac:dyDescent="0.2">
      <c r="A252" s="9" t="s">
        <v>425</v>
      </c>
      <c r="B252" s="9">
        <v>1</v>
      </c>
      <c r="C252" s="22">
        <v>5</v>
      </c>
      <c r="D252" s="25"/>
      <c r="E252" s="18">
        <v>45201</v>
      </c>
      <c r="F252" s="18" t="s">
        <v>364</v>
      </c>
      <c r="G252" s="20" t="s">
        <v>59</v>
      </c>
      <c r="H252" s="19">
        <v>0</v>
      </c>
      <c r="I252" s="20" t="s">
        <v>8</v>
      </c>
      <c r="J252" s="20" t="s">
        <v>7</v>
      </c>
      <c r="K252" s="20" t="s">
        <v>9</v>
      </c>
      <c r="L252" s="20">
        <f t="shared" si="18"/>
        <v>695</v>
      </c>
      <c r="M252" s="4" t="str">
        <f>IF(Table3[[#This Row],[Afrondingsdatum YB]]="N/A","-",Table3[[#This Row],[Afrondingsdatum YB]]-Table3[[#This Row],[StartDatum]])</f>
        <v>-</v>
      </c>
      <c r="N252" s="4"/>
      <c r="O252">
        <f t="shared" si="22"/>
        <v>112</v>
      </c>
      <c r="P252">
        <f t="shared" si="21"/>
        <v>105</v>
      </c>
      <c r="Q252">
        <f t="shared" si="21"/>
        <v>101</v>
      </c>
      <c r="R252">
        <f t="shared" si="21"/>
        <v>116</v>
      </c>
      <c r="S252">
        <f t="shared" si="21"/>
        <v>101</v>
      </c>
      <c r="T252">
        <f t="shared" si="21"/>
        <v>114</v>
      </c>
      <c r="U252">
        <f t="shared" si="21"/>
        <v>46</v>
      </c>
      <c r="V252">
        <f t="shared" si="21"/>
        <v>109</v>
      </c>
      <c r="W252" s="5">
        <f t="shared" si="19"/>
        <v>867</v>
      </c>
      <c r="X252" s="9" t="str">
        <f t="shared" si="20"/>
        <v>i867</v>
      </c>
    </row>
    <row r="253" spans="1:24" x14ac:dyDescent="0.2">
      <c r="A253" s="9" t="s">
        <v>425</v>
      </c>
      <c r="B253" s="9">
        <v>1</v>
      </c>
      <c r="C253" s="22">
        <v>5</v>
      </c>
      <c r="D253" s="25"/>
      <c r="E253" s="23">
        <v>45201</v>
      </c>
      <c r="F253" s="23" t="s">
        <v>362</v>
      </c>
      <c r="G253" s="25" t="s">
        <v>60</v>
      </c>
      <c r="H253" s="24">
        <v>0.15</v>
      </c>
      <c r="I253" s="25" t="s">
        <v>129</v>
      </c>
      <c r="J253" s="25" t="s">
        <v>7</v>
      </c>
      <c r="K253" s="25" t="s">
        <v>9</v>
      </c>
      <c r="L253" s="25">
        <f t="shared" si="18"/>
        <v>703</v>
      </c>
      <c r="M253" s="4" t="str">
        <f>IF(Table3[[#This Row],[Afrondingsdatum YB]]="N/A","-",Table3[[#This Row],[Afrondingsdatum YB]]-Table3[[#This Row],[StartDatum]])</f>
        <v>-</v>
      </c>
      <c r="N253" s="4"/>
      <c r="O253">
        <f t="shared" si="22"/>
        <v>114</v>
      </c>
      <c r="P253">
        <f t="shared" si="21"/>
        <v>101</v>
      </c>
      <c r="Q253">
        <f t="shared" si="21"/>
        <v>110</v>
      </c>
      <c r="R253">
        <f t="shared" si="21"/>
        <v>115</v>
      </c>
      <c r="S253">
        <f t="shared" si="21"/>
        <v>46</v>
      </c>
      <c r="T253">
        <f t="shared" si="21"/>
        <v>103</v>
      </c>
      <c r="U253">
        <f t="shared" si="21"/>
        <v>114</v>
      </c>
      <c r="V253">
        <f t="shared" si="21"/>
        <v>111</v>
      </c>
      <c r="W253" s="5">
        <f t="shared" si="19"/>
        <v>897</v>
      </c>
      <c r="X253" s="9" t="str">
        <f t="shared" si="20"/>
        <v>e897</v>
      </c>
    </row>
    <row r="254" spans="1:24" x14ac:dyDescent="0.2">
      <c r="A254" s="9" t="s">
        <v>425</v>
      </c>
      <c r="B254" s="9">
        <v>1</v>
      </c>
      <c r="C254" s="22">
        <v>5</v>
      </c>
      <c r="D254" s="25"/>
      <c r="E254" s="18">
        <v>45201</v>
      </c>
      <c r="F254" s="18" t="s">
        <v>363</v>
      </c>
      <c r="G254" s="20" t="s">
        <v>61</v>
      </c>
      <c r="H254" s="19">
        <v>0</v>
      </c>
      <c r="I254" s="20" t="s">
        <v>8</v>
      </c>
      <c r="J254" s="20" t="s">
        <v>7</v>
      </c>
      <c r="K254" s="20" t="s">
        <v>9</v>
      </c>
      <c r="L254" s="20">
        <f t="shared" si="18"/>
        <v>697</v>
      </c>
      <c r="M254" s="4" t="str">
        <f>IF(Table3[[#This Row],[Afrondingsdatum YB]]="N/A","-",Table3[[#This Row],[Afrondingsdatum YB]]-Table3[[#This Row],[StartDatum]])</f>
        <v>-</v>
      </c>
      <c r="N254" s="4"/>
      <c r="O254">
        <f t="shared" si="22"/>
        <v>114</v>
      </c>
      <c r="P254">
        <f t="shared" si="21"/>
        <v>111</v>
      </c>
      <c r="Q254">
        <f t="shared" si="21"/>
        <v>119</v>
      </c>
      <c r="R254">
        <f t="shared" si="21"/>
        <v>97</v>
      </c>
      <c r="S254">
        <f t="shared" si="21"/>
        <v>110</v>
      </c>
      <c r="T254">
        <f t="shared" si="21"/>
        <v>46</v>
      </c>
      <c r="U254">
        <f t="shared" si="21"/>
        <v>100</v>
      </c>
      <c r="V254">
        <f t="shared" si="21"/>
        <v>101</v>
      </c>
      <c r="W254" s="5">
        <f t="shared" si="19"/>
        <v>908</v>
      </c>
      <c r="X254" s="9" t="str">
        <f t="shared" si="20"/>
        <v>o908</v>
      </c>
    </row>
    <row r="255" spans="1:24" x14ac:dyDescent="0.2">
      <c r="A255" s="9" t="s">
        <v>425</v>
      </c>
      <c r="B255" s="9">
        <v>1</v>
      </c>
      <c r="C255" s="22">
        <v>5</v>
      </c>
      <c r="D255" s="25"/>
      <c r="E255" s="23">
        <v>45201</v>
      </c>
      <c r="F255" s="23" t="s">
        <v>363</v>
      </c>
      <c r="G255" s="25" t="s">
        <v>84</v>
      </c>
      <c r="H255" s="24">
        <v>0.04</v>
      </c>
      <c r="I255" s="25" t="s">
        <v>130</v>
      </c>
      <c r="J255" s="25" t="s">
        <v>7</v>
      </c>
      <c r="K255" s="25" t="s">
        <v>9</v>
      </c>
      <c r="L255" s="25">
        <f t="shared" si="18"/>
        <v>683</v>
      </c>
      <c r="M255" s="4" t="str">
        <f>IF(Table3[[#This Row],[Afrondingsdatum YB]]="N/A","-",Table3[[#This Row],[Afrondingsdatum YB]]-Table3[[#This Row],[StartDatum]])</f>
        <v>-</v>
      </c>
      <c r="N255" s="4"/>
      <c r="O255">
        <f t="shared" si="22"/>
        <v>115</v>
      </c>
      <c r="P255">
        <f t="shared" si="21"/>
        <v>97</v>
      </c>
      <c r="Q255">
        <f t="shared" si="21"/>
        <v>110</v>
      </c>
      <c r="R255">
        <f t="shared" si="21"/>
        <v>100</v>
      </c>
      <c r="S255">
        <f t="shared" si="21"/>
        <v>101</v>
      </c>
      <c r="T255">
        <f t="shared" si="21"/>
        <v>114</v>
      </c>
      <c r="U255">
        <f t="shared" si="21"/>
        <v>46</v>
      </c>
      <c r="V255">
        <f t="shared" si="21"/>
        <v>98</v>
      </c>
      <c r="W255" s="5">
        <f t="shared" si="19"/>
        <v>878</v>
      </c>
      <c r="X255" s="9" t="str">
        <f t="shared" si="20"/>
        <v>a878</v>
      </c>
    </row>
    <row r="256" spans="1:24" x14ac:dyDescent="0.2">
      <c r="A256" s="9" t="s">
        <v>425</v>
      </c>
      <c r="B256" s="9">
        <v>1</v>
      </c>
      <c r="C256" s="22">
        <v>5</v>
      </c>
      <c r="D256" s="25"/>
      <c r="E256" s="18">
        <v>45201</v>
      </c>
      <c r="F256" s="18" t="s">
        <v>363</v>
      </c>
      <c r="G256" s="20" t="s">
        <v>62</v>
      </c>
      <c r="H256" s="19">
        <v>0.57999999999999996</v>
      </c>
      <c r="I256" s="20" t="s">
        <v>126</v>
      </c>
      <c r="J256" s="20" t="s">
        <v>7</v>
      </c>
      <c r="K256" s="20" t="s">
        <v>9</v>
      </c>
      <c r="L256" s="20">
        <f t="shared" si="18"/>
        <v>670</v>
      </c>
      <c r="M256" s="4" t="str">
        <f>IF(Table3[[#This Row],[Afrondingsdatum YB]]="N/A","-",Table3[[#This Row],[Afrondingsdatum YB]]-Table3[[#This Row],[StartDatum]])</f>
        <v>-</v>
      </c>
      <c r="N256" s="4"/>
      <c r="O256">
        <f t="shared" si="22"/>
        <v>115</v>
      </c>
      <c r="P256">
        <f t="shared" si="21"/>
        <v>97</v>
      </c>
      <c r="Q256">
        <f t="shared" si="21"/>
        <v>114</v>
      </c>
      <c r="R256">
        <f t="shared" si="21"/>
        <v>97</v>
      </c>
      <c r="S256">
        <f t="shared" si="21"/>
        <v>46</v>
      </c>
      <c r="T256">
        <f t="shared" si="21"/>
        <v>100</v>
      </c>
      <c r="U256">
        <f t="shared" si="21"/>
        <v>101</v>
      </c>
      <c r="V256">
        <f t="shared" si="21"/>
        <v>46</v>
      </c>
      <c r="W256" s="5">
        <f t="shared" si="19"/>
        <v>823</v>
      </c>
      <c r="X256" s="9" t="str">
        <f t="shared" si="20"/>
        <v>a823</v>
      </c>
    </row>
    <row r="257" spans="1:24" x14ac:dyDescent="0.2">
      <c r="A257" s="9" t="s">
        <v>425</v>
      </c>
      <c r="B257" s="9">
        <v>1</v>
      </c>
      <c r="C257" s="22">
        <v>5</v>
      </c>
      <c r="D257" s="25"/>
      <c r="E257" s="23">
        <v>45201</v>
      </c>
      <c r="F257" s="23" t="s">
        <v>362</v>
      </c>
      <c r="G257" s="25" t="s">
        <v>131</v>
      </c>
      <c r="H257" s="24">
        <v>0</v>
      </c>
      <c r="I257" s="25" t="s">
        <v>8</v>
      </c>
      <c r="J257" s="25" t="s">
        <v>7</v>
      </c>
      <c r="K257" s="25" t="s">
        <v>9</v>
      </c>
      <c r="L257" s="25">
        <f t="shared" si="18"/>
        <v>675</v>
      </c>
      <c r="M257" s="4" t="str">
        <f>IF(Table3[[#This Row],[Afrondingsdatum YB]]="N/A","-",Table3[[#This Row],[Afrondingsdatum YB]]-Table3[[#This Row],[StartDatum]])</f>
        <v>-</v>
      </c>
      <c r="N257" s="4"/>
      <c r="O257">
        <f t="shared" si="22"/>
        <v>115</v>
      </c>
      <c r="P257">
        <f t="shared" si="21"/>
        <v>97</v>
      </c>
      <c r="Q257">
        <f t="shared" si="21"/>
        <v>114</v>
      </c>
      <c r="R257">
        <f t="shared" si="21"/>
        <v>97</v>
      </c>
      <c r="S257">
        <f t="shared" si="21"/>
        <v>104</v>
      </c>
      <c r="T257">
        <f t="shared" si="21"/>
        <v>46</v>
      </c>
      <c r="U257">
        <f t="shared" si="21"/>
        <v>102</v>
      </c>
      <c r="V257">
        <f t="shared" si="21"/>
        <v>97</v>
      </c>
      <c r="W257" s="5">
        <f t="shared" si="19"/>
        <v>879</v>
      </c>
      <c r="X257" s="9" t="str">
        <f t="shared" si="20"/>
        <v>a879</v>
      </c>
    </row>
    <row r="258" spans="1:24" x14ac:dyDescent="0.2">
      <c r="A258" s="9" t="s">
        <v>425</v>
      </c>
      <c r="B258" s="9">
        <v>1</v>
      </c>
      <c r="C258" s="22">
        <v>5</v>
      </c>
      <c r="D258" s="25"/>
      <c r="E258" s="18">
        <v>45201</v>
      </c>
      <c r="F258" s="18" t="s">
        <v>364</v>
      </c>
      <c r="G258" s="20" t="s">
        <v>108</v>
      </c>
      <c r="H258" s="19">
        <v>0</v>
      </c>
      <c r="I258" s="20" t="s">
        <v>8</v>
      </c>
      <c r="J258" s="20" t="s">
        <v>7</v>
      </c>
      <c r="K258" s="20" t="s">
        <v>9</v>
      </c>
      <c r="L258" s="20">
        <f t="shared" ref="L258:L321" si="23">SUM(O258:U258)</f>
        <v>760</v>
      </c>
      <c r="M258" s="4" t="str">
        <f>IF(Table3[[#This Row],[Afrondingsdatum YB]]="N/A","-",Table3[[#This Row],[Afrondingsdatum YB]]-Table3[[#This Row],[StartDatum]])</f>
        <v>-</v>
      </c>
      <c r="N258" s="4"/>
      <c r="O258">
        <f t="shared" si="22"/>
        <v>115</v>
      </c>
      <c r="P258">
        <f t="shared" si="21"/>
        <v>97</v>
      </c>
      <c r="Q258">
        <f t="shared" si="21"/>
        <v>118</v>
      </c>
      <c r="R258">
        <f t="shared" si="21"/>
        <v>101</v>
      </c>
      <c r="S258">
        <f t="shared" si="21"/>
        <v>114</v>
      </c>
      <c r="T258">
        <f t="shared" si="21"/>
        <v>105</v>
      </c>
      <c r="U258">
        <f t="shared" si="21"/>
        <v>110</v>
      </c>
      <c r="V258">
        <f t="shared" si="21"/>
        <v>105</v>
      </c>
      <c r="W258" s="5">
        <f t="shared" si="19"/>
        <v>977</v>
      </c>
      <c r="X258" s="9" t="str">
        <f t="shared" si="20"/>
        <v>a977</v>
      </c>
    </row>
    <row r="259" spans="1:24" x14ac:dyDescent="0.2">
      <c r="A259" s="9" t="s">
        <v>425</v>
      </c>
      <c r="B259" s="9">
        <v>1</v>
      </c>
      <c r="C259" s="22">
        <v>5</v>
      </c>
      <c r="D259" s="25"/>
      <c r="E259" s="23">
        <v>45201</v>
      </c>
      <c r="F259" s="23" t="s">
        <v>364</v>
      </c>
      <c r="G259" s="25" t="s">
        <v>109</v>
      </c>
      <c r="H259" s="24">
        <v>0</v>
      </c>
      <c r="I259" s="25" t="s">
        <v>8</v>
      </c>
      <c r="J259" s="25" t="s">
        <v>7</v>
      </c>
      <c r="K259" s="25" t="s">
        <v>9</v>
      </c>
      <c r="L259" s="25">
        <f t="shared" si="23"/>
        <v>696</v>
      </c>
      <c r="M259" s="4" t="str">
        <f>IF(Table3[[#This Row],[Afrondingsdatum YB]]="N/A","-",Table3[[#This Row],[Afrondingsdatum YB]]-Table3[[#This Row],[StartDatum]])</f>
        <v>-</v>
      </c>
      <c r="N259" s="4"/>
      <c r="O259">
        <f t="shared" si="22"/>
        <v>115</v>
      </c>
      <c r="P259">
        <f t="shared" si="21"/>
        <v>101</v>
      </c>
      <c r="Q259">
        <f t="shared" si="21"/>
        <v>109</v>
      </c>
      <c r="R259">
        <f t="shared" si="21"/>
        <v>46</v>
      </c>
      <c r="S259">
        <f t="shared" si="21"/>
        <v>118</v>
      </c>
      <c r="T259">
        <f t="shared" si="21"/>
        <v>97</v>
      </c>
      <c r="U259">
        <f t="shared" ref="P259:V296" si="24">CODE(MID($G259,U$1,1))</f>
        <v>110</v>
      </c>
      <c r="V259">
        <f t="shared" si="24"/>
        <v>46</v>
      </c>
      <c r="W259" s="5">
        <f t="shared" ref="W259:W322" si="25">ROUND((O259*O$1+P259/P$1+Q259*Q$1+R259/R$1)+SUM(S259:V259),0)</f>
        <v>875</v>
      </c>
      <c r="X259" s="9" t="str">
        <f t="shared" ref="X259:X322" si="26">MID(G259,2,1)&amp;TEXT(W259,"###")</f>
        <v>e875</v>
      </c>
    </row>
    <row r="260" spans="1:24" x14ac:dyDescent="0.2">
      <c r="A260" s="9" t="s">
        <v>425</v>
      </c>
      <c r="B260" s="9">
        <v>1</v>
      </c>
      <c r="C260" s="22">
        <v>5</v>
      </c>
      <c r="D260" s="25"/>
      <c r="E260" s="18">
        <v>45201</v>
      </c>
      <c r="F260" s="18" t="s">
        <v>362</v>
      </c>
      <c r="G260" s="20" t="s">
        <v>63</v>
      </c>
      <c r="H260" s="19">
        <v>0</v>
      </c>
      <c r="I260" s="20" t="s">
        <v>76</v>
      </c>
      <c r="J260" s="20" t="s">
        <v>7</v>
      </c>
      <c r="K260" s="20" t="s">
        <v>9</v>
      </c>
      <c r="L260" s="20">
        <f t="shared" si="23"/>
        <v>673</v>
      </c>
      <c r="M260" s="4" t="str">
        <f>IF(Table3[[#This Row],[Afrondingsdatum YB]]="N/A","-",Table3[[#This Row],[Afrondingsdatum YB]]-Table3[[#This Row],[StartDatum]])</f>
        <v>-</v>
      </c>
      <c r="N260" s="4"/>
      <c r="O260">
        <f t="shared" si="22"/>
        <v>83</v>
      </c>
      <c r="P260">
        <f t="shared" si="24"/>
        <v>121</v>
      </c>
      <c r="Q260">
        <f t="shared" si="24"/>
        <v>98</v>
      </c>
      <c r="R260">
        <f t="shared" si="24"/>
        <v>114</v>
      </c>
      <c r="S260">
        <f t="shared" si="24"/>
        <v>101</v>
      </c>
      <c r="T260">
        <f t="shared" si="24"/>
        <v>110</v>
      </c>
      <c r="U260">
        <f t="shared" si="24"/>
        <v>46</v>
      </c>
      <c r="V260">
        <f t="shared" si="24"/>
        <v>104</v>
      </c>
      <c r="W260" s="5">
        <f t="shared" si="25"/>
        <v>827</v>
      </c>
      <c r="X260" s="9" t="str">
        <f t="shared" si="26"/>
        <v>y827</v>
      </c>
    </row>
    <row r="261" spans="1:24" x14ac:dyDescent="0.2">
      <c r="A261" s="9" t="s">
        <v>425</v>
      </c>
      <c r="B261" s="9">
        <v>1</v>
      </c>
      <c r="C261" s="22">
        <v>5</v>
      </c>
      <c r="D261" s="25"/>
      <c r="E261" s="23">
        <v>45201</v>
      </c>
      <c r="F261" s="23" t="s">
        <v>363</v>
      </c>
      <c r="G261" s="25" t="s">
        <v>64</v>
      </c>
      <c r="H261" s="24">
        <v>0</v>
      </c>
      <c r="I261" s="25" t="s">
        <v>8</v>
      </c>
      <c r="J261" s="25" t="s">
        <v>7</v>
      </c>
      <c r="K261" s="25" t="s">
        <v>9</v>
      </c>
      <c r="L261" s="25">
        <f t="shared" si="23"/>
        <v>709</v>
      </c>
      <c r="M261" s="4" t="str">
        <f>IF(Table3[[#This Row],[Afrondingsdatum YB]]="N/A","-",Table3[[#This Row],[Afrondingsdatum YB]]-Table3[[#This Row],[StartDatum]])</f>
        <v>-</v>
      </c>
      <c r="N261" s="4"/>
      <c r="O261">
        <f t="shared" si="22"/>
        <v>116</v>
      </c>
      <c r="P261">
        <f t="shared" si="24"/>
        <v>101</v>
      </c>
      <c r="Q261">
        <f t="shared" si="24"/>
        <v>117</v>
      </c>
      <c r="R261">
        <f t="shared" si="24"/>
        <v>110</v>
      </c>
      <c r="S261">
        <f t="shared" si="24"/>
        <v>46</v>
      </c>
      <c r="T261">
        <f t="shared" si="24"/>
        <v>114</v>
      </c>
      <c r="U261">
        <f t="shared" si="24"/>
        <v>105</v>
      </c>
      <c r="V261">
        <f t="shared" si="24"/>
        <v>110</v>
      </c>
      <c r="W261" s="5">
        <f t="shared" si="25"/>
        <v>920</v>
      </c>
      <c r="X261" s="9" t="str">
        <f t="shared" si="26"/>
        <v>e920</v>
      </c>
    </row>
    <row r="262" spans="1:24" x14ac:dyDescent="0.2">
      <c r="A262" s="9" t="s">
        <v>425</v>
      </c>
      <c r="B262" s="9">
        <v>1</v>
      </c>
      <c r="C262" s="22">
        <v>5</v>
      </c>
      <c r="D262" s="25"/>
      <c r="E262" s="18">
        <v>45201</v>
      </c>
      <c r="F262" s="18" t="s">
        <v>362</v>
      </c>
      <c r="G262" s="20" t="s">
        <v>132</v>
      </c>
      <c r="H262" s="19">
        <v>0</v>
      </c>
      <c r="I262" s="20" t="s">
        <v>8</v>
      </c>
      <c r="J262" s="20" t="s">
        <v>7</v>
      </c>
      <c r="K262" s="20" t="s">
        <v>9</v>
      </c>
      <c r="L262" s="20">
        <f t="shared" si="23"/>
        <v>697</v>
      </c>
      <c r="M262" s="4" t="str">
        <f>IF(Table3[[#This Row],[Afrondingsdatum YB]]="N/A","-",Table3[[#This Row],[Afrondingsdatum YB]]-Table3[[#This Row],[StartDatum]])</f>
        <v>-</v>
      </c>
      <c r="N262" s="4"/>
      <c r="O262">
        <f t="shared" si="22"/>
        <v>116</v>
      </c>
      <c r="P262">
        <f t="shared" si="24"/>
        <v>104</v>
      </c>
      <c r="Q262">
        <f t="shared" si="24"/>
        <v>105</v>
      </c>
      <c r="R262">
        <f t="shared" si="24"/>
        <v>114</v>
      </c>
      <c r="S262">
        <f t="shared" si="24"/>
        <v>115</v>
      </c>
      <c r="T262">
        <f t="shared" si="24"/>
        <v>97</v>
      </c>
      <c r="U262">
        <f t="shared" si="24"/>
        <v>46</v>
      </c>
      <c r="V262">
        <f t="shared" si="24"/>
        <v>108</v>
      </c>
      <c r="W262" s="5">
        <f t="shared" si="25"/>
        <v>878</v>
      </c>
      <c r="X262" s="9" t="str">
        <f t="shared" si="26"/>
        <v>h878</v>
      </c>
    </row>
    <row r="263" spans="1:24" x14ac:dyDescent="0.2">
      <c r="A263" s="9" t="s">
        <v>425</v>
      </c>
      <c r="B263" s="9">
        <v>1</v>
      </c>
      <c r="C263" s="22">
        <v>5</v>
      </c>
      <c r="D263" s="25"/>
      <c r="E263" s="23">
        <v>45201</v>
      </c>
      <c r="F263" s="23" t="s">
        <v>364</v>
      </c>
      <c r="G263" s="25" t="s">
        <v>133</v>
      </c>
      <c r="H263" s="24">
        <v>0</v>
      </c>
      <c r="I263" s="25" t="s">
        <v>8</v>
      </c>
      <c r="J263" s="25" t="s">
        <v>7</v>
      </c>
      <c r="K263" s="25" t="s">
        <v>9</v>
      </c>
      <c r="L263" s="25">
        <f t="shared" si="23"/>
        <v>713</v>
      </c>
      <c r="M263" s="4" t="str">
        <f>IF(Table3[[#This Row],[Afrondingsdatum YB]]="N/A","-",Table3[[#This Row],[Afrondingsdatum YB]]-Table3[[#This Row],[StartDatum]])</f>
        <v>-</v>
      </c>
      <c r="N263" s="4"/>
      <c r="O263">
        <f t="shared" si="22"/>
        <v>116</v>
      </c>
      <c r="P263">
        <f t="shared" si="24"/>
        <v>121</v>
      </c>
      <c r="Q263">
        <f t="shared" si="24"/>
        <v>108</v>
      </c>
      <c r="R263">
        <f t="shared" si="24"/>
        <v>101</v>
      </c>
      <c r="S263">
        <f t="shared" si="24"/>
        <v>114</v>
      </c>
      <c r="T263">
        <f t="shared" si="24"/>
        <v>46</v>
      </c>
      <c r="U263">
        <f t="shared" si="24"/>
        <v>107</v>
      </c>
      <c r="V263">
        <f t="shared" si="24"/>
        <v>111</v>
      </c>
      <c r="W263" s="5">
        <f t="shared" si="25"/>
        <v>904</v>
      </c>
      <c r="X263" s="9" t="str">
        <f t="shared" si="26"/>
        <v>y904</v>
      </c>
    </row>
    <row r="264" spans="1:24" x14ac:dyDescent="0.2">
      <c r="A264" s="9" t="s">
        <v>425</v>
      </c>
      <c r="B264" s="9">
        <v>1</v>
      </c>
      <c r="C264" s="22">
        <v>5</v>
      </c>
      <c r="D264" s="25"/>
      <c r="E264" s="18">
        <v>45201</v>
      </c>
      <c r="F264" s="18" t="s">
        <v>364</v>
      </c>
      <c r="G264" s="20" t="s">
        <v>65</v>
      </c>
      <c r="H264" s="19">
        <v>0.11</v>
      </c>
      <c r="I264" s="20" t="s">
        <v>112</v>
      </c>
      <c r="J264" s="20" t="s">
        <v>7</v>
      </c>
      <c r="K264" s="20" t="s">
        <v>9</v>
      </c>
      <c r="L264" s="20">
        <f t="shared" si="23"/>
        <v>711</v>
      </c>
      <c r="M264" s="4" t="str">
        <f>IF(Table3[[#This Row],[Afrondingsdatum YB]]="N/A","-",Table3[[#This Row],[Afrondingsdatum YB]]-Table3[[#This Row],[StartDatum]])</f>
        <v>-</v>
      </c>
      <c r="N264" s="4"/>
      <c r="O264">
        <f t="shared" si="22"/>
        <v>119</v>
      </c>
      <c r="P264">
        <f t="shared" si="24"/>
        <v>101</v>
      </c>
      <c r="Q264">
        <f t="shared" si="24"/>
        <v>115</v>
      </c>
      <c r="R264">
        <f t="shared" si="24"/>
        <v>108</v>
      </c>
      <c r="S264">
        <f t="shared" si="24"/>
        <v>101</v>
      </c>
      <c r="T264">
        <f t="shared" si="24"/>
        <v>121</v>
      </c>
      <c r="U264">
        <f t="shared" si="24"/>
        <v>46</v>
      </c>
      <c r="V264">
        <f t="shared" si="24"/>
        <v>99</v>
      </c>
      <c r="W264" s="5">
        <f t="shared" si="25"/>
        <v>909</v>
      </c>
      <c r="X264" s="9" t="str">
        <f t="shared" si="26"/>
        <v>e909</v>
      </c>
    </row>
    <row r="265" spans="1:24" x14ac:dyDescent="0.2">
      <c r="A265" s="9" t="s">
        <v>425</v>
      </c>
      <c r="B265" s="9">
        <v>1</v>
      </c>
      <c r="C265" s="22">
        <v>5</v>
      </c>
      <c r="D265" s="25"/>
      <c r="E265" s="23">
        <v>45201</v>
      </c>
      <c r="F265" s="23" t="s">
        <v>364</v>
      </c>
      <c r="G265" s="25" t="s">
        <v>66</v>
      </c>
      <c r="H265" s="24">
        <v>0</v>
      </c>
      <c r="I265" s="25" t="s">
        <v>8</v>
      </c>
      <c r="J265" s="25" t="s">
        <v>7</v>
      </c>
      <c r="K265" s="25" t="s">
        <v>9</v>
      </c>
      <c r="L265" s="25">
        <f t="shared" si="23"/>
        <v>697</v>
      </c>
      <c r="M265" s="4" t="str">
        <f>IF(Table3[[#This Row],[Afrondingsdatum YB]]="N/A","-",Table3[[#This Row],[Afrondingsdatum YB]]-Table3[[#This Row],[StartDatum]])</f>
        <v>-</v>
      </c>
      <c r="N265" s="4"/>
      <c r="O265">
        <f t="shared" si="22"/>
        <v>121</v>
      </c>
      <c r="P265">
        <f t="shared" si="24"/>
        <v>97</v>
      </c>
      <c r="Q265">
        <f t="shared" si="24"/>
        <v>115</v>
      </c>
      <c r="R265">
        <f t="shared" si="24"/>
        <v>105</v>
      </c>
      <c r="S265">
        <f t="shared" si="24"/>
        <v>110</v>
      </c>
      <c r="T265">
        <f t="shared" si="24"/>
        <v>46</v>
      </c>
      <c r="U265">
        <f t="shared" si="24"/>
        <v>103</v>
      </c>
      <c r="V265">
        <f t="shared" si="24"/>
        <v>111</v>
      </c>
      <c r="W265" s="5">
        <f t="shared" si="25"/>
        <v>911</v>
      </c>
      <c r="X265" s="9" t="str">
        <f t="shared" si="26"/>
        <v>a911</v>
      </c>
    </row>
    <row r="266" spans="1:24" x14ac:dyDescent="0.2">
      <c r="A266" s="9" t="s">
        <v>425</v>
      </c>
      <c r="B266" s="9">
        <v>1</v>
      </c>
      <c r="C266" s="22">
        <v>5</v>
      </c>
      <c r="D266" s="25"/>
      <c r="E266" s="18">
        <v>45201</v>
      </c>
      <c r="F266" s="18" t="s">
        <v>364</v>
      </c>
      <c r="G266" s="20" t="s">
        <v>67</v>
      </c>
      <c r="H266" s="19">
        <v>0.08</v>
      </c>
      <c r="I266" s="20" t="s">
        <v>76</v>
      </c>
      <c r="J266" s="20" t="s">
        <v>7</v>
      </c>
      <c r="K266" s="20" t="s">
        <v>9</v>
      </c>
      <c r="L266" s="20">
        <f t="shared" si="23"/>
        <v>764</v>
      </c>
      <c r="M266" s="4" t="str">
        <f>IF(Table3[[#This Row],[Afrondingsdatum YB]]="N/A","-",Table3[[#This Row],[Afrondingsdatum YB]]-Table3[[#This Row],[StartDatum]])</f>
        <v>-</v>
      </c>
      <c r="N266" s="4"/>
      <c r="O266">
        <f t="shared" si="22"/>
        <v>121</v>
      </c>
      <c r="P266">
        <f t="shared" si="24"/>
        <v>97</v>
      </c>
      <c r="Q266">
        <f t="shared" si="24"/>
        <v>115</v>
      </c>
      <c r="R266">
        <f t="shared" si="24"/>
        <v>115</v>
      </c>
      <c r="S266">
        <f t="shared" si="24"/>
        <v>105</v>
      </c>
      <c r="T266">
        <f t="shared" si="24"/>
        <v>110</v>
      </c>
      <c r="U266">
        <f t="shared" si="24"/>
        <v>101</v>
      </c>
      <c r="V266">
        <f t="shared" si="24"/>
        <v>46</v>
      </c>
      <c r="W266" s="5">
        <f t="shared" si="25"/>
        <v>905</v>
      </c>
      <c r="X266" s="9" t="str">
        <f t="shared" si="26"/>
        <v>a905</v>
      </c>
    </row>
    <row r="267" spans="1:24" x14ac:dyDescent="0.2">
      <c r="A267" s="9" t="s">
        <v>425</v>
      </c>
      <c r="B267" s="9">
        <v>1</v>
      </c>
      <c r="C267" s="22">
        <v>5</v>
      </c>
      <c r="D267" s="25"/>
      <c r="E267" s="23">
        <v>45201</v>
      </c>
      <c r="F267" s="23" t="s">
        <v>363</v>
      </c>
      <c r="G267" s="25" t="s">
        <v>68</v>
      </c>
      <c r="H267" s="24">
        <v>0.15</v>
      </c>
      <c r="I267" s="25" t="s">
        <v>72</v>
      </c>
      <c r="J267" s="25" t="s">
        <v>7</v>
      </c>
      <c r="K267" s="25" t="s">
        <v>9</v>
      </c>
      <c r="L267" s="25">
        <f t="shared" si="23"/>
        <v>721</v>
      </c>
      <c r="M267" s="4" t="str">
        <f>IF(Table3[[#This Row],[Afrondingsdatum YB]]="N/A","-",Table3[[#This Row],[Afrondingsdatum YB]]-Table3[[#This Row],[StartDatum]])</f>
        <v>-</v>
      </c>
      <c r="N267" s="4"/>
      <c r="O267">
        <f t="shared" si="22"/>
        <v>121</v>
      </c>
      <c r="P267">
        <f t="shared" si="24"/>
        <v>111</v>
      </c>
      <c r="Q267">
        <f t="shared" si="24"/>
        <v>117</v>
      </c>
      <c r="R267">
        <f t="shared" si="24"/>
        <v>114</v>
      </c>
      <c r="S267">
        <f t="shared" si="24"/>
        <v>105</v>
      </c>
      <c r="T267">
        <f t="shared" si="24"/>
        <v>46</v>
      </c>
      <c r="U267">
        <f t="shared" si="24"/>
        <v>107</v>
      </c>
      <c r="V267">
        <f t="shared" si="24"/>
        <v>101</v>
      </c>
      <c r="W267" s="5">
        <f t="shared" si="25"/>
        <v>915</v>
      </c>
      <c r="X267" s="9" t="str">
        <f t="shared" si="26"/>
        <v>o915</v>
      </c>
    </row>
    <row r="268" spans="1:24" x14ac:dyDescent="0.2">
      <c r="A268" s="9" t="s">
        <v>425</v>
      </c>
      <c r="B268" s="9">
        <v>1</v>
      </c>
      <c r="C268" s="17">
        <v>6</v>
      </c>
      <c r="D268" s="20"/>
      <c r="E268" s="18">
        <v>45208</v>
      </c>
      <c r="F268" s="18" t="s">
        <v>363</v>
      </c>
      <c r="G268" s="20" t="s">
        <v>10</v>
      </c>
      <c r="H268" s="19">
        <v>1</v>
      </c>
      <c r="I268" s="20" t="s">
        <v>110</v>
      </c>
      <c r="J268" s="34">
        <v>45197</v>
      </c>
      <c r="K268" s="19">
        <v>0.98</v>
      </c>
      <c r="L268" s="20">
        <f t="shared" si="23"/>
        <v>662</v>
      </c>
      <c r="M268" s="4">
        <f>IF(Table3[[#This Row],[Afrondingsdatum YB]]="N/A","-",Table3[[#This Row],[Afrondingsdatum YB]]-Table3[[#This Row],[StartDatum]])</f>
        <v>45197</v>
      </c>
      <c r="N268" s="4"/>
      <c r="O268">
        <f t="shared" si="22"/>
        <v>97</v>
      </c>
      <c r="P268">
        <f t="shared" si="24"/>
        <v>100</v>
      </c>
      <c r="Q268">
        <f t="shared" si="24"/>
        <v>97</v>
      </c>
      <c r="R268">
        <f t="shared" si="24"/>
        <v>109</v>
      </c>
      <c r="S268">
        <f t="shared" si="24"/>
        <v>46</v>
      </c>
      <c r="T268">
        <f t="shared" si="24"/>
        <v>97</v>
      </c>
      <c r="U268">
        <f t="shared" si="24"/>
        <v>116</v>
      </c>
      <c r="V268">
        <f t="shared" si="24"/>
        <v>116</v>
      </c>
      <c r="W268" s="5">
        <f t="shared" si="25"/>
        <v>840</v>
      </c>
      <c r="X268" s="9" t="str">
        <f t="shared" si="26"/>
        <v>d840</v>
      </c>
    </row>
    <row r="269" spans="1:24" x14ac:dyDescent="0.2">
      <c r="A269" s="9" t="s">
        <v>425</v>
      </c>
      <c r="B269" s="9">
        <v>1</v>
      </c>
      <c r="C269" s="17">
        <v>6</v>
      </c>
      <c r="D269" s="20"/>
      <c r="E269" s="23">
        <v>45208</v>
      </c>
      <c r="F269" s="23" t="s">
        <v>362</v>
      </c>
      <c r="G269" s="25" t="s">
        <v>11</v>
      </c>
      <c r="H269" s="24">
        <v>0.03</v>
      </c>
      <c r="I269" s="25" t="s">
        <v>111</v>
      </c>
      <c r="J269" s="25" t="s">
        <v>7</v>
      </c>
      <c r="K269" s="25" t="s">
        <v>9</v>
      </c>
      <c r="L269" s="25">
        <f t="shared" si="23"/>
        <v>641</v>
      </c>
      <c r="M269" s="4" t="str">
        <f>IF(Table3[[#This Row],[Afrondingsdatum YB]]="N/A","-",Table3[[#This Row],[Afrondingsdatum YB]]-Table3[[#This Row],[StartDatum]])</f>
        <v>-</v>
      </c>
      <c r="N269" s="4"/>
      <c r="O269">
        <f t="shared" si="22"/>
        <v>65</v>
      </c>
      <c r="P269">
        <f t="shared" si="24"/>
        <v>100</v>
      </c>
      <c r="Q269">
        <f t="shared" si="24"/>
        <v>105</v>
      </c>
      <c r="R269">
        <f t="shared" si="24"/>
        <v>108</v>
      </c>
      <c r="S269">
        <f t="shared" si="24"/>
        <v>46</v>
      </c>
      <c r="T269">
        <f t="shared" si="24"/>
        <v>106</v>
      </c>
      <c r="U269">
        <f t="shared" si="24"/>
        <v>111</v>
      </c>
      <c r="V269">
        <f t="shared" si="24"/>
        <v>117</v>
      </c>
      <c r="W269" s="5">
        <f t="shared" si="25"/>
        <v>837</v>
      </c>
      <c r="X269" s="9" t="str">
        <f t="shared" si="26"/>
        <v>d837</v>
      </c>
    </row>
    <row r="270" spans="1:24" x14ac:dyDescent="0.2">
      <c r="A270" s="9" t="s">
        <v>425</v>
      </c>
      <c r="B270" s="9">
        <v>1</v>
      </c>
      <c r="C270" s="17">
        <v>6</v>
      </c>
      <c r="D270" s="20"/>
      <c r="E270" s="18">
        <v>45208</v>
      </c>
      <c r="F270" s="18" t="s">
        <v>364</v>
      </c>
      <c r="G270" s="20" t="s">
        <v>12</v>
      </c>
      <c r="H270" s="19">
        <v>0.17</v>
      </c>
      <c r="I270" s="20" t="s">
        <v>134</v>
      </c>
      <c r="J270" s="20" t="s">
        <v>7</v>
      </c>
      <c r="K270" s="20" t="s">
        <v>9</v>
      </c>
      <c r="L270" s="20">
        <f t="shared" si="23"/>
        <v>677</v>
      </c>
      <c r="M270" s="4" t="str">
        <f>IF(Table3[[#This Row],[Afrondingsdatum YB]]="N/A","-",Table3[[#This Row],[Afrondingsdatum YB]]-Table3[[#This Row],[StartDatum]])</f>
        <v>-</v>
      </c>
      <c r="N270" s="4"/>
      <c r="O270">
        <f t="shared" si="22"/>
        <v>97</v>
      </c>
      <c r="P270">
        <f t="shared" si="24"/>
        <v>103</v>
      </c>
      <c r="Q270">
        <f t="shared" si="24"/>
        <v>104</v>
      </c>
      <c r="R270">
        <f t="shared" si="24"/>
        <v>105</v>
      </c>
      <c r="S270">
        <f t="shared" si="24"/>
        <v>108</v>
      </c>
      <c r="T270">
        <f t="shared" si="24"/>
        <v>46</v>
      </c>
      <c r="U270">
        <f t="shared" si="24"/>
        <v>114</v>
      </c>
      <c r="V270">
        <f t="shared" si="24"/>
        <v>101</v>
      </c>
      <c r="W270" s="5">
        <f t="shared" si="25"/>
        <v>856</v>
      </c>
      <c r="X270" s="9" t="str">
        <f t="shared" si="26"/>
        <v>g856</v>
      </c>
    </row>
    <row r="271" spans="1:24" x14ac:dyDescent="0.2">
      <c r="A271" s="9" t="s">
        <v>425</v>
      </c>
      <c r="B271" s="9">
        <v>1</v>
      </c>
      <c r="C271" s="17">
        <v>6</v>
      </c>
      <c r="D271" s="20"/>
      <c r="E271" s="23">
        <v>45208</v>
      </c>
      <c r="F271" s="23" t="s">
        <v>362</v>
      </c>
      <c r="G271" s="25" t="s">
        <v>113</v>
      </c>
      <c r="H271" s="24">
        <v>0.04</v>
      </c>
      <c r="I271" s="25" t="s">
        <v>135</v>
      </c>
      <c r="J271" s="25" t="s">
        <v>7</v>
      </c>
      <c r="K271" s="25" t="s">
        <v>9</v>
      </c>
      <c r="L271" s="25">
        <f t="shared" si="23"/>
        <v>670</v>
      </c>
      <c r="M271" s="4" t="str">
        <f>IF(Table3[[#This Row],[Afrondingsdatum YB]]="N/A","-",Table3[[#This Row],[Afrondingsdatum YB]]-Table3[[#This Row],[StartDatum]])</f>
        <v>-</v>
      </c>
      <c r="N271" s="4"/>
      <c r="O271">
        <f t="shared" si="22"/>
        <v>97</v>
      </c>
      <c r="P271">
        <f t="shared" si="24"/>
        <v>109</v>
      </c>
      <c r="Q271">
        <f t="shared" si="24"/>
        <v>105</v>
      </c>
      <c r="R271">
        <f t="shared" si="24"/>
        <v>110</v>
      </c>
      <c r="S271">
        <f t="shared" si="24"/>
        <v>46</v>
      </c>
      <c r="T271">
        <f t="shared" si="24"/>
        <v>99</v>
      </c>
      <c r="U271">
        <f t="shared" si="24"/>
        <v>104</v>
      </c>
      <c r="V271">
        <f t="shared" si="24"/>
        <v>101</v>
      </c>
      <c r="W271" s="5">
        <f t="shared" si="25"/>
        <v>844</v>
      </c>
      <c r="X271" s="9" t="str">
        <f t="shared" si="26"/>
        <v>m844</v>
      </c>
    </row>
    <row r="272" spans="1:24" x14ac:dyDescent="0.2">
      <c r="A272" s="9" t="s">
        <v>425</v>
      </c>
      <c r="B272" s="9">
        <v>1</v>
      </c>
      <c r="C272" s="17">
        <v>6</v>
      </c>
      <c r="D272" s="20"/>
      <c r="E272" s="18">
        <v>45208</v>
      </c>
      <c r="F272" s="18" t="s">
        <v>364</v>
      </c>
      <c r="G272" s="20" t="s">
        <v>13</v>
      </c>
      <c r="H272" s="19">
        <v>0.21</v>
      </c>
      <c r="I272" s="20" t="s">
        <v>136</v>
      </c>
      <c r="J272" s="20" t="s">
        <v>7</v>
      </c>
      <c r="K272" s="20" t="s">
        <v>9</v>
      </c>
      <c r="L272" s="20">
        <f t="shared" si="23"/>
        <v>669</v>
      </c>
      <c r="M272" s="4" t="str">
        <f>IF(Table3[[#This Row],[Afrondingsdatum YB]]="N/A","-",Table3[[#This Row],[Afrondingsdatum YB]]-Table3[[#This Row],[StartDatum]])</f>
        <v>-</v>
      </c>
      <c r="N272" s="4"/>
      <c r="O272">
        <f t="shared" si="22"/>
        <v>97</v>
      </c>
      <c r="P272">
        <f t="shared" si="24"/>
        <v>109</v>
      </c>
      <c r="Q272">
        <f t="shared" si="24"/>
        <v>105</v>
      </c>
      <c r="R272">
        <f t="shared" si="24"/>
        <v>110</v>
      </c>
      <c r="S272">
        <f t="shared" si="24"/>
        <v>101</v>
      </c>
      <c r="T272">
        <f t="shared" si="24"/>
        <v>46</v>
      </c>
      <c r="U272">
        <f t="shared" si="24"/>
        <v>101</v>
      </c>
      <c r="V272">
        <f t="shared" si="24"/>
        <v>108</v>
      </c>
      <c r="W272" s="5">
        <f t="shared" si="25"/>
        <v>850</v>
      </c>
      <c r="X272" s="9" t="str">
        <f t="shared" si="26"/>
        <v>m850</v>
      </c>
    </row>
    <row r="273" spans="1:24" x14ac:dyDescent="0.2">
      <c r="A273" s="9" t="s">
        <v>425</v>
      </c>
      <c r="B273" s="9">
        <v>1</v>
      </c>
      <c r="C273" s="17">
        <v>6</v>
      </c>
      <c r="D273" s="20"/>
      <c r="E273" s="23">
        <v>45208</v>
      </c>
      <c r="F273" s="23" t="s">
        <v>363</v>
      </c>
      <c r="G273" s="25" t="s">
        <v>14</v>
      </c>
      <c r="H273" s="24">
        <v>0.28999999999999998</v>
      </c>
      <c r="I273" s="25" t="s">
        <v>137</v>
      </c>
      <c r="J273" s="25" t="s">
        <v>7</v>
      </c>
      <c r="K273" s="25" t="s">
        <v>9</v>
      </c>
      <c r="L273" s="25">
        <f t="shared" si="23"/>
        <v>676</v>
      </c>
      <c r="M273" s="4" t="str">
        <f>IF(Table3[[#This Row],[Afrondingsdatum YB]]="N/A","-",Table3[[#This Row],[Afrondingsdatum YB]]-Table3[[#This Row],[StartDatum]])</f>
        <v>-</v>
      </c>
      <c r="N273" s="4"/>
      <c r="O273">
        <f t="shared" si="22"/>
        <v>97</v>
      </c>
      <c r="P273">
        <f t="shared" si="24"/>
        <v>110</v>
      </c>
      <c r="Q273">
        <f t="shared" si="24"/>
        <v>103</v>
      </c>
      <c r="R273">
        <f t="shared" si="24"/>
        <v>101</v>
      </c>
      <c r="S273">
        <f t="shared" si="24"/>
        <v>108</v>
      </c>
      <c r="T273">
        <f t="shared" si="24"/>
        <v>111</v>
      </c>
      <c r="U273">
        <f t="shared" si="24"/>
        <v>46</v>
      </c>
      <c r="V273">
        <f t="shared" si="24"/>
        <v>115</v>
      </c>
      <c r="W273" s="5">
        <f t="shared" si="25"/>
        <v>866</v>
      </c>
      <c r="X273" s="9" t="str">
        <f t="shared" si="26"/>
        <v>n866</v>
      </c>
    </row>
    <row r="274" spans="1:24" x14ac:dyDescent="0.2">
      <c r="A274" s="9" t="s">
        <v>425</v>
      </c>
      <c r="B274" s="9">
        <v>1</v>
      </c>
      <c r="C274" s="17">
        <v>6</v>
      </c>
      <c r="D274" s="20"/>
      <c r="E274" s="18">
        <v>45208</v>
      </c>
      <c r="F274" s="18" t="s">
        <v>362</v>
      </c>
      <c r="G274" s="20" t="s">
        <v>15</v>
      </c>
      <c r="H274" s="19">
        <v>0</v>
      </c>
      <c r="I274" s="20" t="s">
        <v>114</v>
      </c>
      <c r="J274" s="20" t="s">
        <v>7</v>
      </c>
      <c r="K274" s="20" t="s">
        <v>9</v>
      </c>
      <c r="L274" s="20">
        <f t="shared" si="23"/>
        <v>755</v>
      </c>
      <c r="M274" s="4" t="str">
        <f>IF(Table3[[#This Row],[Afrondingsdatum YB]]="N/A","-",Table3[[#This Row],[Afrondingsdatum YB]]-Table3[[#This Row],[StartDatum]])</f>
        <v>-</v>
      </c>
      <c r="N274" s="4"/>
      <c r="O274">
        <f t="shared" si="22"/>
        <v>97</v>
      </c>
      <c r="P274">
        <f t="shared" si="24"/>
        <v>115</v>
      </c>
      <c r="Q274">
        <f t="shared" si="24"/>
        <v>104</v>
      </c>
      <c r="R274">
        <f t="shared" si="24"/>
        <v>111</v>
      </c>
      <c r="S274">
        <f t="shared" si="24"/>
        <v>101</v>
      </c>
      <c r="T274">
        <f t="shared" si="24"/>
        <v>116</v>
      </c>
      <c r="U274">
        <f t="shared" si="24"/>
        <v>111</v>
      </c>
      <c r="V274">
        <f t="shared" si="24"/>
        <v>115</v>
      </c>
      <c r="W274" s="5">
        <f t="shared" si="25"/>
        <v>937</v>
      </c>
      <c r="X274" s="9" t="str">
        <f t="shared" si="26"/>
        <v>s937</v>
      </c>
    </row>
    <row r="275" spans="1:24" x14ac:dyDescent="0.2">
      <c r="A275" s="9" t="s">
        <v>425</v>
      </c>
      <c r="B275" s="9">
        <v>1</v>
      </c>
      <c r="C275" s="17">
        <v>6</v>
      </c>
      <c r="D275" s="20"/>
      <c r="E275" s="23">
        <v>45208</v>
      </c>
      <c r="F275" s="23" t="s">
        <v>364</v>
      </c>
      <c r="G275" s="25" t="s">
        <v>16</v>
      </c>
      <c r="H275" s="24">
        <v>0.1</v>
      </c>
      <c r="I275" s="25" t="s">
        <v>138</v>
      </c>
      <c r="J275" s="25" t="s">
        <v>7</v>
      </c>
      <c r="K275" s="25" t="s">
        <v>9</v>
      </c>
      <c r="L275" s="25">
        <f t="shared" si="23"/>
        <v>672</v>
      </c>
      <c r="M275" s="4" t="str">
        <f>IF(Table3[[#This Row],[Afrondingsdatum YB]]="N/A","-",Table3[[#This Row],[Afrondingsdatum YB]]-Table3[[#This Row],[StartDatum]])</f>
        <v>-</v>
      </c>
      <c r="N275" s="4"/>
      <c r="O275">
        <f t="shared" si="22"/>
        <v>97</v>
      </c>
      <c r="P275">
        <f t="shared" si="24"/>
        <v>121</v>
      </c>
      <c r="Q275">
        <f t="shared" si="24"/>
        <v>100</v>
      </c>
      <c r="R275">
        <f t="shared" si="24"/>
        <v>101</v>
      </c>
      <c r="S275">
        <f t="shared" si="24"/>
        <v>110</v>
      </c>
      <c r="T275">
        <f t="shared" si="24"/>
        <v>46</v>
      </c>
      <c r="U275">
        <f t="shared" si="24"/>
        <v>97</v>
      </c>
      <c r="V275">
        <f t="shared" si="24"/>
        <v>110</v>
      </c>
      <c r="W275" s="5">
        <f t="shared" si="25"/>
        <v>846</v>
      </c>
      <c r="X275" s="9" t="str">
        <f t="shared" si="26"/>
        <v>y846</v>
      </c>
    </row>
    <row r="276" spans="1:24" x14ac:dyDescent="0.2">
      <c r="A276" s="9" t="s">
        <v>425</v>
      </c>
      <c r="B276" s="9">
        <v>1</v>
      </c>
      <c r="C276" s="17">
        <v>6</v>
      </c>
      <c r="D276" s="20"/>
      <c r="E276" s="18">
        <v>45208</v>
      </c>
      <c r="F276" s="18" t="s">
        <v>362</v>
      </c>
      <c r="G276" s="20" t="s">
        <v>17</v>
      </c>
      <c r="H276" s="19">
        <v>0</v>
      </c>
      <c r="I276" s="20" t="s">
        <v>76</v>
      </c>
      <c r="J276" s="20" t="s">
        <v>7</v>
      </c>
      <c r="K276" s="20" t="s">
        <v>9</v>
      </c>
      <c r="L276" s="20">
        <f t="shared" si="23"/>
        <v>707</v>
      </c>
      <c r="M276" s="4" t="str">
        <f>IF(Table3[[#This Row],[Afrondingsdatum YB]]="N/A","-",Table3[[#This Row],[Afrondingsdatum YB]]-Table3[[#This Row],[StartDatum]])</f>
        <v>-</v>
      </c>
      <c r="N276" s="4"/>
      <c r="O276">
        <f t="shared" si="22"/>
        <v>98</v>
      </c>
      <c r="P276">
        <f t="shared" si="24"/>
        <v>101</v>
      </c>
      <c r="Q276">
        <f t="shared" si="24"/>
        <v>116</v>
      </c>
      <c r="R276">
        <f t="shared" si="24"/>
        <v>117</v>
      </c>
      <c r="S276">
        <f t="shared" si="24"/>
        <v>108</v>
      </c>
      <c r="T276">
        <f t="shared" si="24"/>
        <v>46</v>
      </c>
      <c r="U276">
        <f t="shared" si="24"/>
        <v>121</v>
      </c>
      <c r="V276">
        <f t="shared" si="24"/>
        <v>117</v>
      </c>
      <c r="W276" s="5">
        <f t="shared" si="25"/>
        <v>918</v>
      </c>
      <c r="X276" s="9" t="str">
        <f t="shared" si="26"/>
        <v>e918</v>
      </c>
    </row>
    <row r="277" spans="1:24" x14ac:dyDescent="0.2">
      <c r="A277" s="9" t="s">
        <v>425</v>
      </c>
      <c r="B277" s="9">
        <v>1</v>
      </c>
      <c r="C277" s="17">
        <v>6</v>
      </c>
      <c r="D277" s="20"/>
      <c r="E277" s="23">
        <v>45208</v>
      </c>
      <c r="F277" s="23" t="s">
        <v>364</v>
      </c>
      <c r="G277" s="25" t="s">
        <v>115</v>
      </c>
      <c r="H277" s="24">
        <v>0</v>
      </c>
      <c r="I277" s="25" t="s">
        <v>8</v>
      </c>
      <c r="J277" s="25" t="s">
        <v>7</v>
      </c>
      <c r="K277" s="25" t="s">
        <v>9</v>
      </c>
      <c r="L277" s="25">
        <f t="shared" si="23"/>
        <v>748</v>
      </c>
      <c r="M277" s="4" t="str">
        <f>IF(Table3[[#This Row],[Afrondingsdatum YB]]="N/A","-",Table3[[#This Row],[Afrondingsdatum YB]]-Table3[[#This Row],[StartDatum]])</f>
        <v>-</v>
      </c>
      <c r="N277" s="4"/>
      <c r="O277">
        <f t="shared" si="22"/>
        <v>98</v>
      </c>
      <c r="P277">
        <f t="shared" si="24"/>
        <v>106</v>
      </c>
      <c r="Q277">
        <f t="shared" si="24"/>
        <v>111</v>
      </c>
      <c r="R277">
        <f t="shared" si="24"/>
        <v>114</v>
      </c>
      <c r="S277">
        <f t="shared" si="24"/>
        <v>110</v>
      </c>
      <c r="T277">
        <f t="shared" si="24"/>
        <v>108</v>
      </c>
      <c r="U277">
        <f t="shared" si="24"/>
        <v>101</v>
      </c>
      <c r="V277">
        <f t="shared" si="24"/>
        <v>118</v>
      </c>
      <c r="W277" s="5">
        <f t="shared" si="25"/>
        <v>950</v>
      </c>
      <c r="X277" s="9" t="str">
        <f t="shared" si="26"/>
        <v>j950</v>
      </c>
    </row>
    <row r="278" spans="1:24" x14ac:dyDescent="0.2">
      <c r="A278" s="9" t="s">
        <v>425</v>
      </c>
      <c r="B278" s="9">
        <v>1</v>
      </c>
      <c r="C278" s="17">
        <v>6</v>
      </c>
      <c r="D278" s="20"/>
      <c r="E278" s="18">
        <v>45208</v>
      </c>
      <c r="F278" s="18" t="s">
        <v>363</v>
      </c>
      <c r="G278" s="20" t="s">
        <v>18</v>
      </c>
      <c r="H278" s="19">
        <v>0.61</v>
      </c>
      <c r="I278" s="20" t="s">
        <v>139</v>
      </c>
      <c r="J278" s="20" t="s">
        <v>7</v>
      </c>
      <c r="K278" s="20" t="s">
        <v>9</v>
      </c>
      <c r="L278" s="20">
        <f t="shared" si="23"/>
        <v>687</v>
      </c>
      <c r="M278" s="4" t="str">
        <f>IF(Table3[[#This Row],[Afrondingsdatum YB]]="N/A","-",Table3[[#This Row],[Afrondingsdatum YB]]-Table3[[#This Row],[StartDatum]])</f>
        <v>-</v>
      </c>
      <c r="N278" s="4"/>
      <c r="O278">
        <f t="shared" si="22"/>
        <v>98</v>
      </c>
      <c r="P278">
        <f t="shared" si="24"/>
        <v>114</v>
      </c>
      <c r="Q278">
        <f t="shared" si="24"/>
        <v>101</v>
      </c>
      <c r="R278">
        <f t="shared" si="24"/>
        <v>116</v>
      </c>
      <c r="S278">
        <f t="shared" si="24"/>
        <v>104</v>
      </c>
      <c r="T278">
        <f t="shared" si="24"/>
        <v>46</v>
      </c>
      <c r="U278">
        <f t="shared" si="24"/>
        <v>108</v>
      </c>
      <c r="V278">
        <f t="shared" si="24"/>
        <v>97</v>
      </c>
      <c r="W278" s="5">
        <f t="shared" si="25"/>
        <v>842</v>
      </c>
      <c r="X278" s="9" t="str">
        <f t="shared" si="26"/>
        <v>r842</v>
      </c>
    </row>
    <row r="279" spans="1:24" x14ac:dyDescent="0.2">
      <c r="A279" s="9" t="s">
        <v>425</v>
      </c>
      <c r="B279" s="9">
        <v>1</v>
      </c>
      <c r="C279" s="17">
        <v>6</v>
      </c>
      <c r="D279" s="20"/>
      <c r="E279" s="23">
        <v>45208</v>
      </c>
      <c r="F279" s="23" t="s">
        <v>364</v>
      </c>
      <c r="G279" s="25" t="s">
        <v>19</v>
      </c>
      <c r="H279" s="24">
        <v>0.66</v>
      </c>
      <c r="I279" s="25" t="s">
        <v>140</v>
      </c>
      <c r="J279" s="25" t="s">
        <v>7</v>
      </c>
      <c r="K279" s="25" t="s">
        <v>9</v>
      </c>
      <c r="L279" s="25">
        <f t="shared" si="23"/>
        <v>733</v>
      </c>
      <c r="M279" s="4" t="str">
        <f>IF(Table3[[#This Row],[Afrondingsdatum YB]]="N/A","-",Table3[[#This Row],[Afrondingsdatum YB]]-Table3[[#This Row],[StartDatum]])</f>
        <v>-</v>
      </c>
      <c r="N279" s="4"/>
      <c r="O279">
        <f t="shared" si="22"/>
        <v>99</v>
      </c>
      <c r="P279">
        <f t="shared" si="24"/>
        <v>104</v>
      </c>
      <c r="Q279">
        <f t="shared" si="24"/>
        <v>97</v>
      </c>
      <c r="R279">
        <f t="shared" si="24"/>
        <v>114</v>
      </c>
      <c r="S279">
        <f t="shared" si="24"/>
        <v>108</v>
      </c>
      <c r="T279">
        <f t="shared" si="24"/>
        <v>101</v>
      </c>
      <c r="U279">
        <f t="shared" si="24"/>
        <v>110</v>
      </c>
      <c r="V279">
        <f t="shared" si="24"/>
        <v>101</v>
      </c>
      <c r="W279" s="5">
        <f t="shared" si="25"/>
        <v>891</v>
      </c>
      <c r="X279" s="9" t="str">
        <f t="shared" si="26"/>
        <v>h891</v>
      </c>
    </row>
    <row r="280" spans="1:24" x14ac:dyDescent="0.2">
      <c r="A280" s="9" t="s">
        <v>425</v>
      </c>
      <c r="B280" s="9">
        <v>1</v>
      </c>
      <c r="C280" s="17">
        <v>6</v>
      </c>
      <c r="D280" s="20"/>
      <c r="E280" s="18">
        <v>45208</v>
      </c>
      <c r="F280" s="18" t="s">
        <v>364</v>
      </c>
      <c r="G280" s="20" t="s">
        <v>20</v>
      </c>
      <c r="H280" s="19">
        <v>0.68</v>
      </c>
      <c r="I280" s="20" t="s">
        <v>141</v>
      </c>
      <c r="J280" s="20" t="s">
        <v>7</v>
      </c>
      <c r="K280" s="20" t="s">
        <v>9</v>
      </c>
      <c r="L280" s="20">
        <f t="shared" si="23"/>
        <v>668</v>
      </c>
      <c r="M280" s="4" t="str">
        <f>IF(Table3[[#This Row],[Afrondingsdatum YB]]="N/A","-",Table3[[#This Row],[Afrondingsdatum YB]]-Table3[[#This Row],[StartDatum]])</f>
        <v>-</v>
      </c>
      <c r="N280" s="4"/>
      <c r="O280">
        <f t="shared" si="22"/>
        <v>99</v>
      </c>
      <c r="P280">
        <f t="shared" si="24"/>
        <v>104</v>
      </c>
      <c r="Q280">
        <f t="shared" si="24"/>
        <v>101</v>
      </c>
      <c r="R280">
        <f t="shared" si="24"/>
        <v>110</v>
      </c>
      <c r="S280">
        <f t="shared" si="24"/>
        <v>111</v>
      </c>
      <c r="T280">
        <f t="shared" si="24"/>
        <v>97</v>
      </c>
      <c r="U280">
        <f t="shared" si="24"/>
        <v>46</v>
      </c>
      <c r="V280">
        <f t="shared" si="24"/>
        <v>118</v>
      </c>
      <c r="W280" s="5">
        <f t="shared" si="25"/>
        <v>854</v>
      </c>
      <c r="X280" s="9" t="str">
        <f t="shared" si="26"/>
        <v>h854</v>
      </c>
    </row>
    <row r="281" spans="1:24" x14ac:dyDescent="0.2">
      <c r="A281" s="9" t="s">
        <v>425</v>
      </c>
      <c r="B281" s="9">
        <v>1</v>
      </c>
      <c r="C281" s="17">
        <v>6</v>
      </c>
      <c r="D281" s="20"/>
      <c r="E281" s="23">
        <v>45208</v>
      </c>
      <c r="F281" s="23" t="s">
        <v>364</v>
      </c>
      <c r="G281" s="25" t="s">
        <v>21</v>
      </c>
      <c r="H281" s="24">
        <v>0.25</v>
      </c>
      <c r="I281" s="25" t="s">
        <v>123</v>
      </c>
      <c r="J281" s="25" t="s">
        <v>7</v>
      </c>
      <c r="K281" s="25" t="s">
        <v>9</v>
      </c>
      <c r="L281" s="25">
        <f t="shared" si="23"/>
        <v>681</v>
      </c>
      <c r="M281" s="4" t="str">
        <f>IF(Table3[[#This Row],[Afrondingsdatum YB]]="N/A","-",Table3[[#This Row],[Afrondingsdatum YB]]-Table3[[#This Row],[StartDatum]])</f>
        <v>-</v>
      </c>
      <c r="N281" s="4"/>
      <c r="O281">
        <f t="shared" si="22"/>
        <v>100</v>
      </c>
      <c r="P281">
        <f t="shared" si="24"/>
        <v>97</v>
      </c>
      <c r="Q281">
        <f t="shared" si="24"/>
        <v>115</v>
      </c>
      <c r="R281">
        <f t="shared" si="24"/>
        <v>116</v>
      </c>
      <c r="S281">
        <f t="shared" si="24"/>
        <v>97</v>
      </c>
      <c r="T281">
        <f t="shared" si="24"/>
        <v>110</v>
      </c>
      <c r="U281">
        <f t="shared" si="24"/>
        <v>46</v>
      </c>
      <c r="V281">
        <f t="shared" si="24"/>
        <v>109</v>
      </c>
      <c r="W281" s="5">
        <f t="shared" si="25"/>
        <v>885</v>
      </c>
      <c r="X281" s="9" t="str">
        <f t="shared" si="26"/>
        <v>a885</v>
      </c>
    </row>
    <row r="282" spans="1:24" x14ac:dyDescent="0.2">
      <c r="A282" s="9" t="s">
        <v>425</v>
      </c>
      <c r="B282" s="9">
        <v>1</v>
      </c>
      <c r="C282" s="17">
        <v>6</v>
      </c>
      <c r="D282" s="20"/>
      <c r="E282" s="18">
        <v>45208</v>
      </c>
      <c r="F282" s="18" t="s">
        <v>363</v>
      </c>
      <c r="G282" s="20" t="s">
        <v>22</v>
      </c>
      <c r="H282" s="19">
        <v>0.37</v>
      </c>
      <c r="I282" s="20" t="s">
        <v>123</v>
      </c>
      <c r="J282" s="20" t="s">
        <v>7</v>
      </c>
      <c r="K282" s="20" t="s">
        <v>9</v>
      </c>
      <c r="L282" s="20">
        <f t="shared" si="23"/>
        <v>676</v>
      </c>
      <c r="M282" s="4" t="str">
        <f>IF(Table3[[#This Row],[Afrondingsdatum YB]]="N/A","-",Table3[[#This Row],[Afrondingsdatum YB]]-Table3[[#This Row],[StartDatum]])</f>
        <v>-</v>
      </c>
      <c r="N282" s="4"/>
      <c r="O282">
        <f t="shared" si="22"/>
        <v>100</v>
      </c>
      <c r="P282">
        <f t="shared" si="24"/>
        <v>101</v>
      </c>
      <c r="Q282">
        <f t="shared" si="24"/>
        <v>109</v>
      </c>
      <c r="R282">
        <f t="shared" si="24"/>
        <v>105</v>
      </c>
      <c r="S282">
        <f t="shared" si="24"/>
        <v>46</v>
      </c>
      <c r="T282">
        <f t="shared" si="24"/>
        <v>118</v>
      </c>
      <c r="U282">
        <f t="shared" si="24"/>
        <v>97</v>
      </c>
      <c r="V282">
        <f t="shared" si="24"/>
        <v>110</v>
      </c>
      <c r="W282" s="5">
        <f t="shared" si="25"/>
        <v>875</v>
      </c>
      <c r="X282" s="9" t="str">
        <f t="shared" si="26"/>
        <v>e875</v>
      </c>
    </row>
    <row r="283" spans="1:24" x14ac:dyDescent="0.2">
      <c r="A283" s="9" t="s">
        <v>425</v>
      </c>
      <c r="B283" s="9">
        <v>1</v>
      </c>
      <c r="C283" s="17">
        <v>6</v>
      </c>
      <c r="D283" s="20"/>
      <c r="E283" s="23">
        <v>45208</v>
      </c>
      <c r="F283" s="23" t="s">
        <v>363</v>
      </c>
      <c r="G283" s="25" t="s">
        <v>23</v>
      </c>
      <c r="H283" s="24">
        <v>0.09</v>
      </c>
      <c r="I283" s="25" t="s">
        <v>142</v>
      </c>
      <c r="J283" s="25" t="s">
        <v>7</v>
      </c>
      <c r="K283" s="25" t="s">
        <v>9</v>
      </c>
      <c r="L283" s="25">
        <f t="shared" si="23"/>
        <v>681</v>
      </c>
      <c r="M283" s="4" t="str">
        <f>IF(Table3[[#This Row],[Afrondingsdatum YB]]="N/A","-",Table3[[#This Row],[Afrondingsdatum YB]]-Table3[[#This Row],[StartDatum]])</f>
        <v>-</v>
      </c>
      <c r="N283" s="4"/>
      <c r="O283">
        <f t="shared" si="22"/>
        <v>101</v>
      </c>
      <c r="P283">
        <f t="shared" si="24"/>
        <v>108</v>
      </c>
      <c r="Q283">
        <f t="shared" si="24"/>
        <v>105</v>
      </c>
      <c r="R283">
        <f t="shared" si="24"/>
        <v>122</v>
      </c>
      <c r="S283">
        <f t="shared" si="24"/>
        <v>101</v>
      </c>
      <c r="T283">
        <f t="shared" si="24"/>
        <v>46</v>
      </c>
      <c r="U283">
        <f t="shared" si="24"/>
        <v>98</v>
      </c>
      <c r="V283">
        <f t="shared" si="24"/>
        <v>97</v>
      </c>
      <c r="W283" s="5">
        <f t="shared" si="25"/>
        <v>843</v>
      </c>
      <c r="X283" s="9" t="str">
        <f t="shared" si="26"/>
        <v>l843</v>
      </c>
    </row>
    <row r="284" spans="1:24" x14ac:dyDescent="0.2">
      <c r="A284" s="9" t="s">
        <v>425</v>
      </c>
      <c r="B284" s="9">
        <v>1</v>
      </c>
      <c r="C284" s="17">
        <v>6</v>
      </c>
      <c r="D284" s="20"/>
      <c r="E284" s="18">
        <v>45208</v>
      </c>
      <c r="F284" s="18" t="s">
        <v>363</v>
      </c>
      <c r="G284" s="20" t="s">
        <v>24</v>
      </c>
      <c r="H284" s="19">
        <v>0.13</v>
      </c>
      <c r="I284" s="20" t="s">
        <v>70</v>
      </c>
      <c r="J284" s="20" t="s">
        <v>7</v>
      </c>
      <c r="K284" s="20" t="s">
        <v>9</v>
      </c>
      <c r="L284" s="20">
        <f t="shared" si="23"/>
        <v>705</v>
      </c>
      <c r="M284" s="4" t="str">
        <f>IF(Table3[[#This Row],[Afrondingsdatum YB]]="N/A","-",Table3[[#This Row],[Afrondingsdatum YB]]-Table3[[#This Row],[StartDatum]])</f>
        <v>-</v>
      </c>
      <c r="N284" s="4"/>
      <c r="O284">
        <f t="shared" si="22"/>
        <v>102</v>
      </c>
      <c r="P284">
        <f t="shared" si="24"/>
        <v>105</v>
      </c>
      <c r="Q284">
        <f t="shared" si="24"/>
        <v>115</v>
      </c>
      <c r="R284">
        <f t="shared" si="24"/>
        <v>116</v>
      </c>
      <c r="S284">
        <f t="shared" si="24"/>
        <v>111</v>
      </c>
      <c r="T284">
        <f t="shared" si="24"/>
        <v>110</v>
      </c>
      <c r="U284">
        <f t="shared" si="24"/>
        <v>46</v>
      </c>
      <c r="V284">
        <f t="shared" si="24"/>
        <v>99</v>
      </c>
      <c r="W284" s="5">
        <f t="shared" si="25"/>
        <v>895</v>
      </c>
      <c r="X284" s="9" t="str">
        <f t="shared" si="26"/>
        <v>i895</v>
      </c>
    </row>
    <row r="285" spans="1:24" x14ac:dyDescent="0.2">
      <c r="A285" s="9" t="s">
        <v>425</v>
      </c>
      <c r="B285" s="9">
        <v>1</v>
      </c>
      <c r="C285" s="17">
        <v>6</v>
      </c>
      <c r="D285" s="20"/>
      <c r="E285" s="23">
        <v>45208</v>
      </c>
      <c r="F285" s="23" t="s">
        <v>362</v>
      </c>
      <c r="G285" s="25" t="s">
        <v>118</v>
      </c>
      <c r="H285" s="24">
        <v>0</v>
      </c>
      <c r="I285" s="25" t="s">
        <v>8</v>
      </c>
      <c r="J285" s="25" t="s">
        <v>7</v>
      </c>
      <c r="K285" s="25" t="s">
        <v>9</v>
      </c>
      <c r="L285" s="25">
        <f t="shared" si="23"/>
        <v>756</v>
      </c>
      <c r="M285" s="4" t="str">
        <f>IF(Table3[[#This Row],[Afrondingsdatum YB]]="N/A","-",Table3[[#This Row],[Afrondingsdatum YB]]-Table3[[#This Row],[StartDatum]])</f>
        <v>-</v>
      </c>
      <c r="N285" s="4"/>
      <c r="O285">
        <f t="shared" si="22"/>
        <v>103</v>
      </c>
      <c r="P285">
        <f t="shared" si="24"/>
        <v>101</v>
      </c>
      <c r="Q285">
        <f t="shared" si="24"/>
        <v>110</v>
      </c>
      <c r="R285">
        <f t="shared" si="24"/>
        <v>116</v>
      </c>
      <c r="S285">
        <f t="shared" si="24"/>
        <v>97</v>
      </c>
      <c r="T285">
        <f t="shared" si="24"/>
        <v>108</v>
      </c>
      <c r="U285">
        <f t="shared" si="24"/>
        <v>121</v>
      </c>
      <c r="V285">
        <f t="shared" si="24"/>
        <v>46</v>
      </c>
      <c r="W285" s="5">
        <f t="shared" si="25"/>
        <v>885</v>
      </c>
      <c r="X285" s="9" t="str">
        <f t="shared" si="26"/>
        <v>e885</v>
      </c>
    </row>
    <row r="286" spans="1:24" x14ac:dyDescent="0.2">
      <c r="A286" s="9" t="s">
        <v>425</v>
      </c>
      <c r="B286" s="9">
        <v>1</v>
      </c>
      <c r="C286" s="17">
        <v>6</v>
      </c>
      <c r="D286" s="20"/>
      <c r="E286" s="18">
        <v>45208</v>
      </c>
      <c r="F286" s="18" t="s">
        <v>362</v>
      </c>
      <c r="G286" s="20" t="s">
        <v>25</v>
      </c>
      <c r="H286" s="19">
        <v>0.15</v>
      </c>
      <c r="I286" s="20" t="s">
        <v>119</v>
      </c>
      <c r="J286" s="20" t="s">
        <v>7</v>
      </c>
      <c r="K286" s="20" t="s">
        <v>9</v>
      </c>
      <c r="L286" s="20">
        <f t="shared" si="23"/>
        <v>690</v>
      </c>
      <c r="M286" s="4" t="str">
        <f>IF(Table3[[#This Row],[Afrondingsdatum YB]]="N/A","-",Table3[[#This Row],[Afrondingsdatum YB]]-Table3[[#This Row],[StartDatum]])</f>
        <v>-</v>
      </c>
      <c r="N286" s="4"/>
      <c r="O286">
        <f t="shared" si="22"/>
        <v>103</v>
      </c>
      <c r="P286">
        <f t="shared" si="24"/>
        <v>108</v>
      </c>
      <c r="Q286">
        <f t="shared" si="24"/>
        <v>105</v>
      </c>
      <c r="R286">
        <f t="shared" si="24"/>
        <v>103</v>
      </c>
      <c r="S286">
        <f t="shared" si="24"/>
        <v>111</v>
      </c>
      <c r="T286">
        <f t="shared" si="24"/>
        <v>114</v>
      </c>
      <c r="U286">
        <f t="shared" si="24"/>
        <v>46</v>
      </c>
      <c r="V286">
        <f t="shared" si="24"/>
        <v>106</v>
      </c>
      <c r="W286" s="5">
        <f t="shared" si="25"/>
        <v>875</v>
      </c>
      <c r="X286" s="9" t="str">
        <f t="shared" si="26"/>
        <v>l875</v>
      </c>
    </row>
    <row r="287" spans="1:24" x14ac:dyDescent="0.2">
      <c r="A287" s="9" t="s">
        <v>425</v>
      </c>
      <c r="B287" s="9">
        <v>1</v>
      </c>
      <c r="C287" s="17">
        <v>6</v>
      </c>
      <c r="D287" s="20"/>
      <c r="E287" s="23">
        <v>45208</v>
      </c>
      <c r="F287" s="23" t="s">
        <v>363</v>
      </c>
      <c r="G287" s="25" t="s">
        <v>26</v>
      </c>
      <c r="H287" s="24">
        <v>0.39</v>
      </c>
      <c r="I287" s="25" t="s">
        <v>93</v>
      </c>
      <c r="J287" s="25" t="s">
        <v>7</v>
      </c>
      <c r="K287" s="25" t="s">
        <v>9</v>
      </c>
      <c r="L287" s="25">
        <f t="shared" si="23"/>
        <v>690</v>
      </c>
      <c r="M287" s="4" t="str">
        <f>IF(Table3[[#This Row],[Afrondingsdatum YB]]="N/A","-",Table3[[#This Row],[Afrondingsdatum YB]]-Table3[[#This Row],[StartDatum]])</f>
        <v>-</v>
      </c>
      <c r="N287" s="4"/>
      <c r="O287">
        <f t="shared" si="22"/>
        <v>104</v>
      </c>
      <c r="P287">
        <f t="shared" si="24"/>
        <v>97</v>
      </c>
      <c r="Q287">
        <f t="shared" si="24"/>
        <v>122</v>
      </c>
      <c r="R287">
        <f t="shared" si="24"/>
        <v>101</v>
      </c>
      <c r="S287">
        <f t="shared" si="24"/>
        <v>109</v>
      </c>
      <c r="T287">
        <f t="shared" si="24"/>
        <v>46</v>
      </c>
      <c r="U287">
        <f t="shared" si="24"/>
        <v>111</v>
      </c>
      <c r="V287">
        <f t="shared" si="24"/>
        <v>110</v>
      </c>
      <c r="W287" s="5">
        <f t="shared" si="25"/>
        <v>920</v>
      </c>
      <c r="X287" s="9" t="str">
        <f t="shared" si="26"/>
        <v>a920</v>
      </c>
    </row>
    <row r="288" spans="1:24" x14ac:dyDescent="0.2">
      <c r="A288" s="9" t="s">
        <v>425</v>
      </c>
      <c r="B288" s="9">
        <v>1</v>
      </c>
      <c r="C288" s="17">
        <v>6</v>
      </c>
      <c r="D288" s="20"/>
      <c r="E288" s="18">
        <v>45208</v>
      </c>
      <c r="F288" s="18" t="s">
        <v>364</v>
      </c>
      <c r="G288" s="20" t="s">
        <v>27</v>
      </c>
      <c r="H288" s="19">
        <v>0.13</v>
      </c>
      <c r="I288" s="20" t="s">
        <v>143</v>
      </c>
      <c r="J288" s="20" t="s">
        <v>7</v>
      </c>
      <c r="K288" s="20" t="s">
        <v>9</v>
      </c>
      <c r="L288" s="20">
        <f t="shared" si="23"/>
        <v>734</v>
      </c>
      <c r="M288" s="4" t="str">
        <f>IF(Table3[[#This Row],[Afrondingsdatum YB]]="N/A","-",Table3[[#This Row],[Afrondingsdatum YB]]-Table3[[#This Row],[StartDatum]])</f>
        <v>-</v>
      </c>
      <c r="N288" s="4"/>
      <c r="O288">
        <f t="shared" ref="O288:O351" si="27">CODE(MID($G288,O$1,1))</f>
        <v>104</v>
      </c>
      <c r="P288">
        <f t="shared" si="24"/>
        <v>101</v>
      </c>
      <c r="Q288">
        <f t="shared" si="24"/>
        <v>114</v>
      </c>
      <c r="R288">
        <f t="shared" si="24"/>
        <v>109</v>
      </c>
      <c r="S288">
        <f t="shared" si="24"/>
        <v>101</v>
      </c>
      <c r="T288">
        <f t="shared" si="24"/>
        <v>108</v>
      </c>
      <c r="U288">
        <f t="shared" si="24"/>
        <v>97</v>
      </c>
      <c r="V288">
        <f t="shared" si="24"/>
        <v>46</v>
      </c>
      <c r="W288" s="5">
        <f t="shared" si="25"/>
        <v>876</v>
      </c>
      <c r="X288" s="9" t="str">
        <f t="shared" si="26"/>
        <v>e876</v>
      </c>
    </row>
    <row r="289" spans="1:24" x14ac:dyDescent="0.2">
      <c r="A289" s="9" t="s">
        <v>425</v>
      </c>
      <c r="B289" s="9">
        <v>1</v>
      </c>
      <c r="C289" s="17">
        <v>6</v>
      </c>
      <c r="D289" s="20"/>
      <c r="E289" s="23">
        <v>45208</v>
      </c>
      <c r="F289" s="23" t="s">
        <v>364</v>
      </c>
      <c r="G289" s="25" t="s">
        <v>28</v>
      </c>
      <c r="H289" s="24">
        <v>0.1</v>
      </c>
      <c r="I289" s="25" t="s">
        <v>144</v>
      </c>
      <c r="J289" s="25" t="s">
        <v>7</v>
      </c>
      <c r="K289" s="25" t="s">
        <v>9</v>
      </c>
      <c r="L289" s="25">
        <f t="shared" si="23"/>
        <v>665</v>
      </c>
      <c r="M289" s="4" t="str">
        <f>IF(Table3[[#This Row],[Afrondingsdatum YB]]="N/A","-",Table3[[#This Row],[Afrondingsdatum YB]]-Table3[[#This Row],[StartDatum]])</f>
        <v>-</v>
      </c>
      <c r="N289" s="4"/>
      <c r="O289">
        <f t="shared" si="27"/>
        <v>104</v>
      </c>
      <c r="P289">
        <f t="shared" si="24"/>
        <v>117</v>
      </c>
      <c r="Q289">
        <f t="shared" si="24"/>
        <v>105</v>
      </c>
      <c r="R289">
        <f t="shared" si="24"/>
        <v>98</v>
      </c>
      <c r="S289">
        <f t="shared" si="24"/>
        <v>46</v>
      </c>
      <c r="T289">
        <f t="shared" si="24"/>
        <v>98</v>
      </c>
      <c r="U289">
        <f t="shared" si="24"/>
        <v>97</v>
      </c>
      <c r="V289">
        <f t="shared" si="24"/>
        <v>107</v>
      </c>
      <c r="W289" s="5">
        <f t="shared" si="25"/>
        <v>850</v>
      </c>
      <c r="X289" s="9" t="str">
        <f t="shared" si="26"/>
        <v>u850</v>
      </c>
    </row>
    <row r="290" spans="1:24" x14ac:dyDescent="0.2">
      <c r="A290" s="9" t="s">
        <v>425</v>
      </c>
      <c r="B290" s="9">
        <v>1</v>
      </c>
      <c r="C290" s="17">
        <v>6</v>
      </c>
      <c r="D290" s="20"/>
      <c r="E290" s="18">
        <v>45208</v>
      </c>
      <c r="F290" s="18" t="s">
        <v>363</v>
      </c>
      <c r="G290" s="20" t="s">
        <v>29</v>
      </c>
      <c r="H290" s="19">
        <v>0.98</v>
      </c>
      <c r="I290" s="20" t="s">
        <v>145</v>
      </c>
      <c r="J290" s="20" t="s">
        <v>7</v>
      </c>
      <c r="K290" s="20" t="s">
        <v>9</v>
      </c>
      <c r="L290" s="20">
        <f t="shared" si="23"/>
        <v>682</v>
      </c>
      <c r="M290" s="4" t="str">
        <f>IF(Table3[[#This Row],[Afrondingsdatum YB]]="N/A","-",Table3[[#This Row],[Afrondingsdatum YB]]-Table3[[#This Row],[StartDatum]])</f>
        <v>-</v>
      </c>
      <c r="N290" s="4"/>
      <c r="O290">
        <f t="shared" si="27"/>
        <v>105</v>
      </c>
      <c r="P290">
        <f t="shared" si="24"/>
        <v>107</v>
      </c>
      <c r="Q290">
        <f t="shared" si="24"/>
        <v>104</v>
      </c>
      <c r="R290">
        <f t="shared" si="24"/>
        <v>108</v>
      </c>
      <c r="S290">
        <f t="shared" si="24"/>
        <v>97</v>
      </c>
      <c r="T290">
        <f t="shared" si="24"/>
        <v>115</v>
      </c>
      <c r="U290">
        <f t="shared" si="24"/>
        <v>46</v>
      </c>
      <c r="V290">
        <f t="shared" si="24"/>
        <v>98</v>
      </c>
      <c r="W290" s="5">
        <f t="shared" si="25"/>
        <v>854</v>
      </c>
      <c r="X290" s="9" t="str">
        <f t="shared" si="26"/>
        <v>k854</v>
      </c>
    </row>
    <row r="291" spans="1:24" x14ac:dyDescent="0.2">
      <c r="A291" s="9" t="s">
        <v>425</v>
      </c>
      <c r="B291" s="9">
        <v>1</v>
      </c>
      <c r="C291" s="17">
        <v>6</v>
      </c>
      <c r="D291" s="20"/>
      <c r="E291" s="23">
        <v>45208</v>
      </c>
      <c r="F291" s="23" t="s">
        <v>363</v>
      </c>
      <c r="G291" s="25" t="s">
        <v>30</v>
      </c>
      <c r="H291" s="24">
        <v>0.54</v>
      </c>
      <c r="I291" s="25" t="s">
        <v>146</v>
      </c>
      <c r="J291" s="25" t="s">
        <v>7</v>
      </c>
      <c r="K291" s="25" t="s">
        <v>9</v>
      </c>
      <c r="L291" s="25">
        <f t="shared" si="23"/>
        <v>701</v>
      </c>
      <c r="M291" s="4" t="str">
        <f>IF(Table3[[#This Row],[Afrondingsdatum YB]]="N/A","-",Table3[[#This Row],[Afrondingsdatum YB]]-Table3[[#This Row],[StartDatum]])</f>
        <v>-</v>
      </c>
      <c r="N291" s="4"/>
      <c r="O291">
        <f t="shared" si="27"/>
        <v>105</v>
      </c>
      <c r="P291">
        <f t="shared" si="24"/>
        <v>108</v>
      </c>
      <c r="Q291">
        <f t="shared" si="24"/>
        <v>107</v>
      </c>
      <c r="R291">
        <f t="shared" si="24"/>
        <v>97</v>
      </c>
      <c r="S291">
        <f t="shared" si="24"/>
        <v>121</v>
      </c>
      <c r="T291">
        <f t="shared" si="24"/>
        <v>46</v>
      </c>
      <c r="U291">
        <f t="shared" si="24"/>
        <v>117</v>
      </c>
      <c r="V291">
        <f t="shared" si="24"/>
        <v>121</v>
      </c>
      <c r="W291" s="5">
        <f t="shared" si="25"/>
        <v>909</v>
      </c>
      <c r="X291" s="9" t="str">
        <f t="shared" si="26"/>
        <v>l909</v>
      </c>
    </row>
    <row r="292" spans="1:24" x14ac:dyDescent="0.2">
      <c r="A292" s="9" t="s">
        <v>425</v>
      </c>
      <c r="B292" s="9">
        <v>1</v>
      </c>
      <c r="C292" s="17">
        <v>6</v>
      </c>
      <c r="D292" s="20"/>
      <c r="E292" s="18">
        <v>45208</v>
      </c>
      <c r="F292" s="18" t="s">
        <v>364</v>
      </c>
      <c r="G292" s="20" t="s">
        <v>31</v>
      </c>
      <c r="H292" s="19">
        <v>0.28000000000000003</v>
      </c>
      <c r="I292" s="20" t="s">
        <v>147</v>
      </c>
      <c r="J292" s="20" t="s">
        <v>7</v>
      </c>
      <c r="K292" s="20" t="s">
        <v>9</v>
      </c>
      <c r="L292" s="20">
        <f t="shared" si="23"/>
        <v>661</v>
      </c>
      <c r="M292" s="4" t="str">
        <f>IF(Table3[[#This Row],[Afrondingsdatum YB]]="N/A","-",Table3[[#This Row],[Afrondingsdatum YB]]-Table3[[#This Row],[StartDatum]])</f>
        <v>-</v>
      </c>
      <c r="N292" s="4"/>
      <c r="O292">
        <f t="shared" si="27"/>
        <v>106</v>
      </c>
      <c r="P292">
        <f t="shared" si="24"/>
        <v>97</v>
      </c>
      <c r="Q292">
        <f t="shared" si="24"/>
        <v>109</v>
      </c>
      <c r="R292">
        <f t="shared" si="24"/>
        <v>97</v>
      </c>
      <c r="S292">
        <f t="shared" si="24"/>
        <v>108</v>
      </c>
      <c r="T292">
        <f t="shared" si="24"/>
        <v>46</v>
      </c>
      <c r="U292">
        <f t="shared" si="24"/>
        <v>98</v>
      </c>
      <c r="V292">
        <f t="shared" si="24"/>
        <v>97</v>
      </c>
      <c r="W292" s="5">
        <f t="shared" si="25"/>
        <v>855</v>
      </c>
      <c r="X292" s="9" t="str">
        <f t="shared" si="26"/>
        <v>a855</v>
      </c>
    </row>
    <row r="293" spans="1:24" x14ac:dyDescent="0.2">
      <c r="A293" s="9" t="s">
        <v>425</v>
      </c>
      <c r="B293" s="9">
        <v>1</v>
      </c>
      <c r="C293" s="17">
        <v>6</v>
      </c>
      <c r="D293" s="20"/>
      <c r="E293" s="23">
        <v>45208</v>
      </c>
      <c r="F293" s="23" t="s">
        <v>364</v>
      </c>
      <c r="G293" s="25" t="s">
        <v>75</v>
      </c>
      <c r="H293" s="24">
        <v>0</v>
      </c>
      <c r="I293" s="25" t="s">
        <v>8</v>
      </c>
      <c r="J293" s="25" t="s">
        <v>7</v>
      </c>
      <c r="K293" s="25" t="s">
        <v>9</v>
      </c>
      <c r="L293" s="25">
        <f t="shared" si="23"/>
        <v>698</v>
      </c>
      <c r="M293" s="4" t="str">
        <f>IF(Table3[[#This Row],[Afrondingsdatum YB]]="N/A","-",Table3[[#This Row],[Afrondingsdatum YB]]-Table3[[#This Row],[StartDatum]])</f>
        <v>-</v>
      </c>
      <c r="N293" s="4"/>
      <c r="O293">
        <f t="shared" si="27"/>
        <v>74</v>
      </c>
      <c r="P293">
        <f t="shared" si="24"/>
        <v>97</v>
      </c>
      <c r="Q293">
        <f t="shared" si="24"/>
        <v>109</v>
      </c>
      <c r="R293">
        <f t="shared" si="24"/>
        <v>105</v>
      </c>
      <c r="S293">
        <f t="shared" si="24"/>
        <v>108</v>
      </c>
      <c r="T293">
        <f t="shared" si="24"/>
        <v>108</v>
      </c>
      <c r="U293">
        <f t="shared" si="24"/>
        <v>97</v>
      </c>
      <c r="V293">
        <f t="shared" si="24"/>
        <v>98</v>
      </c>
      <c r="W293" s="5">
        <f t="shared" si="25"/>
        <v>887</v>
      </c>
      <c r="X293" s="9" t="str">
        <f t="shared" si="26"/>
        <v>a887</v>
      </c>
    </row>
    <row r="294" spans="1:24" x14ac:dyDescent="0.2">
      <c r="A294" s="9" t="s">
        <v>425</v>
      </c>
      <c r="B294" s="9">
        <v>1</v>
      </c>
      <c r="C294" s="17">
        <v>6</v>
      </c>
      <c r="D294" s="20"/>
      <c r="E294" s="18">
        <v>45208</v>
      </c>
      <c r="F294" s="18" t="s">
        <v>363</v>
      </c>
      <c r="G294" s="20" t="s">
        <v>32</v>
      </c>
      <c r="H294" s="19">
        <v>0.68</v>
      </c>
      <c r="I294" s="20" t="s">
        <v>148</v>
      </c>
      <c r="J294" s="20" t="s">
        <v>7</v>
      </c>
      <c r="K294" s="20" t="s">
        <v>9</v>
      </c>
      <c r="L294" s="20">
        <f t="shared" si="23"/>
        <v>698</v>
      </c>
      <c r="M294" s="4" t="str">
        <f>IF(Table3[[#This Row],[Afrondingsdatum YB]]="N/A","-",Table3[[#This Row],[Afrondingsdatum YB]]-Table3[[#This Row],[StartDatum]])</f>
        <v>-</v>
      </c>
      <c r="N294" s="4"/>
      <c r="O294">
        <f t="shared" si="27"/>
        <v>106</v>
      </c>
      <c r="P294">
        <f t="shared" si="24"/>
        <v>97</v>
      </c>
      <c r="Q294">
        <f t="shared" si="24"/>
        <v>114</v>
      </c>
      <c r="R294">
        <f t="shared" si="24"/>
        <v>114</v>
      </c>
      <c r="S294">
        <f t="shared" si="24"/>
        <v>111</v>
      </c>
      <c r="T294">
        <f t="shared" si="24"/>
        <v>110</v>
      </c>
      <c r="U294">
        <f t="shared" si="24"/>
        <v>46</v>
      </c>
      <c r="V294">
        <f t="shared" si="24"/>
        <v>118</v>
      </c>
      <c r="W294" s="5">
        <f t="shared" si="25"/>
        <v>910</v>
      </c>
      <c r="X294" s="9" t="str">
        <f t="shared" si="26"/>
        <v>a910</v>
      </c>
    </row>
    <row r="295" spans="1:24" x14ac:dyDescent="0.2">
      <c r="A295" s="9" t="s">
        <v>425</v>
      </c>
      <c r="B295" s="9">
        <v>1</v>
      </c>
      <c r="C295" s="17">
        <v>6</v>
      </c>
      <c r="D295" s="20"/>
      <c r="E295" s="23">
        <v>45208</v>
      </c>
      <c r="F295" s="23" t="s">
        <v>362</v>
      </c>
      <c r="G295" s="25" t="s">
        <v>33</v>
      </c>
      <c r="H295" s="24">
        <v>7.0000000000000007E-2</v>
      </c>
      <c r="I295" s="25" t="s">
        <v>149</v>
      </c>
      <c r="J295" s="25" t="s">
        <v>7</v>
      </c>
      <c r="K295" s="25" t="s">
        <v>9</v>
      </c>
      <c r="L295" s="25">
        <f t="shared" si="23"/>
        <v>707</v>
      </c>
      <c r="M295" s="4" t="str">
        <f>IF(Table3[[#This Row],[Afrondingsdatum YB]]="N/A","-",Table3[[#This Row],[Afrondingsdatum YB]]-Table3[[#This Row],[StartDatum]])</f>
        <v>-</v>
      </c>
      <c r="N295" s="4"/>
      <c r="O295">
        <f t="shared" si="27"/>
        <v>106</v>
      </c>
      <c r="P295">
        <f t="shared" si="24"/>
        <v>101</v>
      </c>
      <c r="Q295">
        <f t="shared" si="24"/>
        <v>118</v>
      </c>
      <c r="R295">
        <f t="shared" si="24"/>
        <v>111</v>
      </c>
      <c r="S295">
        <f t="shared" si="24"/>
        <v>110</v>
      </c>
      <c r="T295">
        <f t="shared" si="24"/>
        <v>46</v>
      </c>
      <c r="U295">
        <f t="shared" si="24"/>
        <v>115</v>
      </c>
      <c r="V295">
        <f t="shared" si="24"/>
        <v>109</v>
      </c>
      <c r="W295" s="5">
        <f t="shared" si="25"/>
        <v>918</v>
      </c>
      <c r="X295" s="9" t="str">
        <f t="shared" si="26"/>
        <v>e918</v>
      </c>
    </row>
    <row r="296" spans="1:24" x14ac:dyDescent="0.2">
      <c r="A296" s="9" t="s">
        <v>425</v>
      </c>
      <c r="B296" s="9">
        <v>1</v>
      </c>
      <c r="C296" s="17">
        <v>6</v>
      </c>
      <c r="D296" s="20"/>
      <c r="E296" s="18">
        <v>45208</v>
      </c>
      <c r="F296" s="18" t="s">
        <v>362</v>
      </c>
      <c r="G296" s="20" t="s">
        <v>125</v>
      </c>
      <c r="H296" s="19">
        <v>0</v>
      </c>
      <c r="I296" s="20" t="s">
        <v>8</v>
      </c>
      <c r="J296" s="20" t="s">
        <v>7</v>
      </c>
      <c r="K296" s="20" t="s">
        <v>9</v>
      </c>
      <c r="L296" s="20">
        <f t="shared" si="23"/>
        <v>689</v>
      </c>
      <c r="M296" s="4" t="str">
        <f>IF(Table3[[#This Row],[Afrondingsdatum YB]]="N/A","-",Table3[[#This Row],[Afrondingsdatum YB]]-Table3[[#This Row],[StartDatum]])</f>
        <v>-</v>
      </c>
      <c r="N296" s="4"/>
      <c r="O296">
        <f t="shared" si="27"/>
        <v>106</v>
      </c>
      <c r="P296">
        <f t="shared" si="24"/>
        <v>111</v>
      </c>
      <c r="Q296">
        <f t="shared" ref="P296:V332" si="28">CODE(MID($G296,Q$1,1))</f>
        <v>98</v>
      </c>
      <c r="R296">
        <f t="shared" si="28"/>
        <v>46</v>
      </c>
      <c r="S296">
        <f t="shared" si="28"/>
        <v>107</v>
      </c>
      <c r="T296">
        <f t="shared" si="28"/>
        <v>110</v>
      </c>
      <c r="U296">
        <f t="shared" si="28"/>
        <v>111</v>
      </c>
      <c r="V296">
        <f t="shared" si="28"/>
        <v>111</v>
      </c>
      <c r="W296" s="5">
        <f t="shared" si="25"/>
        <v>906</v>
      </c>
      <c r="X296" s="9" t="str">
        <f t="shared" si="26"/>
        <v>o906</v>
      </c>
    </row>
    <row r="297" spans="1:24" x14ac:dyDescent="0.2">
      <c r="A297" s="9" t="s">
        <v>425</v>
      </c>
      <c r="B297" s="9">
        <v>1</v>
      </c>
      <c r="C297" s="17">
        <v>6</v>
      </c>
      <c r="D297" s="20"/>
      <c r="E297" s="23">
        <v>45208</v>
      </c>
      <c r="F297" s="23" t="s">
        <v>362</v>
      </c>
      <c r="G297" s="25" t="s">
        <v>34</v>
      </c>
      <c r="H297" s="24">
        <v>0</v>
      </c>
      <c r="I297" s="25" t="s">
        <v>8</v>
      </c>
      <c r="J297" s="25" t="s">
        <v>7</v>
      </c>
      <c r="K297" s="25" t="s">
        <v>9</v>
      </c>
      <c r="L297" s="25">
        <f t="shared" si="23"/>
        <v>676</v>
      </c>
      <c r="M297" s="4" t="str">
        <f>IF(Table3[[#This Row],[Afrondingsdatum YB]]="N/A","-",Table3[[#This Row],[Afrondingsdatum YB]]-Table3[[#This Row],[StartDatum]])</f>
        <v>-</v>
      </c>
      <c r="N297" s="4"/>
      <c r="O297">
        <f t="shared" si="27"/>
        <v>106</v>
      </c>
      <c r="P297">
        <f t="shared" si="28"/>
        <v>111</v>
      </c>
      <c r="Q297">
        <f t="shared" si="28"/>
        <v>99</v>
      </c>
      <c r="R297">
        <f t="shared" si="28"/>
        <v>104</v>
      </c>
      <c r="S297">
        <f t="shared" si="28"/>
        <v>101</v>
      </c>
      <c r="T297">
        <f t="shared" si="28"/>
        <v>109</v>
      </c>
      <c r="U297">
        <f t="shared" si="28"/>
        <v>46</v>
      </c>
      <c r="V297">
        <f t="shared" si="28"/>
        <v>104</v>
      </c>
      <c r="W297" s="5">
        <f t="shared" si="25"/>
        <v>845</v>
      </c>
      <c r="X297" s="9" t="str">
        <f t="shared" si="26"/>
        <v>o845</v>
      </c>
    </row>
    <row r="298" spans="1:24" x14ac:dyDescent="0.2">
      <c r="A298" s="9" t="s">
        <v>425</v>
      </c>
      <c r="B298" s="9">
        <v>1</v>
      </c>
      <c r="C298" s="17">
        <v>6</v>
      </c>
      <c r="D298" s="20"/>
      <c r="E298" s="18">
        <v>45208</v>
      </c>
      <c r="F298" s="18" t="s">
        <v>362</v>
      </c>
      <c r="G298" s="20" t="s">
        <v>35</v>
      </c>
      <c r="H298" s="19">
        <v>0</v>
      </c>
      <c r="I298" s="20" t="s">
        <v>76</v>
      </c>
      <c r="J298" s="20" t="s">
        <v>7</v>
      </c>
      <c r="K298" s="20" t="s">
        <v>9</v>
      </c>
      <c r="L298" s="20">
        <f t="shared" si="23"/>
        <v>704</v>
      </c>
      <c r="M298" s="4" t="str">
        <f>IF(Table3[[#This Row],[Afrondingsdatum YB]]="N/A","-",Table3[[#This Row],[Afrondingsdatum YB]]-Table3[[#This Row],[StartDatum]])</f>
        <v>-</v>
      </c>
      <c r="N298" s="4"/>
      <c r="O298">
        <f t="shared" si="27"/>
        <v>106</v>
      </c>
      <c r="P298">
        <f t="shared" si="28"/>
        <v>111</v>
      </c>
      <c r="Q298">
        <f t="shared" si="28"/>
        <v>114</v>
      </c>
      <c r="R298">
        <f t="shared" si="28"/>
        <v>105</v>
      </c>
      <c r="S298">
        <f t="shared" si="28"/>
        <v>115</v>
      </c>
      <c r="T298">
        <f t="shared" si="28"/>
        <v>46</v>
      </c>
      <c r="U298">
        <f t="shared" si="28"/>
        <v>107</v>
      </c>
      <c r="V298">
        <f t="shared" si="28"/>
        <v>111</v>
      </c>
      <c r="W298" s="5">
        <f t="shared" si="25"/>
        <v>909</v>
      </c>
      <c r="X298" s="9" t="str">
        <f t="shared" si="26"/>
        <v>o909</v>
      </c>
    </row>
    <row r="299" spans="1:24" x14ac:dyDescent="0.2">
      <c r="A299" s="9" t="s">
        <v>425</v>
      </c>
      <c r="B299" s="9">
        <v>1</v>
      </c>
      <c r="C299" s="17">
        <v>6</v>
      </c>
      <c r="D299" s="20"/>
      <c r="E299" s="23">
        <v>45208</v>
      </c>
      <c r="F299" s="23" t="s">
        <v>364</v>
      </c>
      <c r="G299" s="25" t="s">
        <v>36</v>
      </c>
      <c r="H299" s="24">
        <v>0</v>
      </c>
      <c r="I299" s="25" t="s">
        <v>8</v>
      </c>
      <c r="J299" s="25" t="s">
        <v>7</v>
      </c>
      <c r="K299" s="25" t="s">
        <v>9</v>
      </c>
      <c r="L299" s="25">
        <f t="shared" si="23"/>
        <v>657</v>
      </c>
      <c r="M299" s="4" t="str">
        <f>IF(Table3[[#This Row],[Afrondingsdatum YB]]="N/A","-",Table3[[#This Row],[Afrondingsdatum YB]]-Table3[[#This Row],[StartDatum]])</f>
        <v>-</v>
      </c>
      <c r="N299" s="4"/>
      <c r="O299">
        <f t="shared" si="27"/>
        <v>74</v>
      </c>
      <c r="P299">
        <f t="shared" si="28"/>
        <v>117</v>
      </c>
      <c r="Q299">
        <f t="shared" si="28"/>
        <v>108</v>
      </c>
      <c r="R299">
        <f t="shared" si="28"/>
        <v>105</v>
      </c>
      <c r="S299">
        <f t="shared" si="28"/>
        <v>97</v>
      </c>
      <c r="T299">
        <f t="shared" si="28"/>
        <v>110</v>
      </c>
      <c r="U299">
        <f t="shared" si="28"/>
        <v>46</v>
      </c>
      <c r="V299">
        <f t="shared" si="28"/>
        <v>68</v>
      </c>
      <c r="W299" s="5">
        <f t="shared" si="25"/>
        <v>804</v>
      </c>
      <c r="X299" s="9" t="str">
        <f t="shared" si="26"/>
        <v>u804</v>
      </c>
    </row>
    <row r="300" spans="1:24" x14ac:dyDescent="0.2">
      <c r="A300" s="9" t="s">
        <v>425</v>
      </c>
      <c r="B300" s="9">
        <v>1</v>
      </c>
      <c r="C300" s="17">
        <v>6</v>
      </c>
      <c r="D300" s="20"/>
      <c r="E300" s="18">
        <v>45208</v>
      </c>
      <c r="F300" s="18" t="s">
        <v>363</v>
      </c>
      <c r="G300" s="20" t="s">
        <v>37</v>
      </c>
      <c r="H300" s="19">
        <v>0.06</v>
      </c>
      <c r="I300" s="20" t="s">
        <v>126</v>
      </c>
      <c r="J300" s="20" t="s">
        <v>7</v>
      </c>
      <c r="K300" s="20" t="s">
        <v>9</v>
      </c>
      <c r="L300" s="20">
        <f t="shared" si="23"/>
        <v>689</v>
      </c>
      <c r="M300" s="4" t="str">
        <f>IF(Table3[[#This Row],[Afrondingsdatum YB]]="N/A","-",Table3[[#This Row],[Afrondingsdatum YB]]-Table3[[#This Row],[StartDatum]])</f>
        <v>-</v>
      </c>
      <c r="N300" s="4"/>
      <c r="O300">
        <f t="shared" si="27"/>
        <v>106</v>
      </c>
      <c r="P300">
        <f t="shared" si="28"/>
        <v>117</v>
      </c>
      <c r="Q300">
        <f t="shared" si="28"/>
        <v>108</v>
      </c>
      <c r="R300">
        <f t="shared" si="28"/>
        <v>105</v>
      </c>
      <c r="S300">
        <f t="shared" si="28"/>
        <v>97</v>
      </c>
      <c r="T300">
        <f t="shared" si="28"/>
        <v>110</v>
      </c>
      <c r="U300">
        <f t="shared" si="28"/>
        <v>46</v>
      </c>
      <c r="V300">
        <f t="shared" si="28"/>
        <v>118</v>
      </c>
      <c r="W300" s="5">
        <f t="shared" si="25"/>
        <v>886</v>
      </c>
      <c r="X300" s="9" t="str">
        <f t="shared" si="26"/>
        <v>u886</v>
      </c>
    </row>
    <row r="301" spans="1:24" x14ac:dyDescent="0.2">
      <c r="A301" s="9" t="s">
        <v>425</v>
      </c>
      <c r="B301" s="9">
        <v>1</v>
      </c>
      <c r="C301" s="17">
        <v>6</v>
      </c>
      <c r="D301" s="20"/>
      <c r="E301" s="23">
        <v>45208</v>
      </c>
      <c r="F301" s="23" t="s">
        <v>363</v>
      </c>
      <c r="G301" s="25" t="s">
        <v>38</v>
      </c>
      <c r="H301" s="24">
        <v>0.32</v>
      </c>
      <c r="I301" s="25" t="s">
        <v>150</v>
      </c>
      <c r="J301" s="25" t="s">
        <v>7</v>
      </c>
      <c r="K301" s="25" t="s">
        <v>9</v>
      </c>
      <c r="L301" s="25">
        <f t="shared" si="23"/>
        <v>671</v>
      </c>
      <c r="M301" s="4" t="str">
        <f>IF(Table3[[#This Row],[Afrondingsdatum YB]]="N/A","-",Table3[[#This Row],[Afrondingsdatum YB]]-Table3[[#This Row],[StartDatum]])</f>
        <v>-</v>
      </c>
      <c r="N301" s="4"/>
      <c r="O301">
        <f t="shared" si="27"/>
        <v>107</v>
      </c>
      <c r="P301">
        <f t="shared" si="28"/>
        <v>97</v>
      </c>
      <c r="Q301">
        <f t="shared" si="28"/>
        <v>105</v>
      </c>
      <c r="R301">
        <f t="shared" si="28"/>
        <v>46</v>
      </c>
      <c r="S301">
        <f t="shared" si="28"/>
        <v>104</v>
      </c>
      <c r="T301">
        <f t="shared" si="28"/>
        <v>97</v>
      </c>
      <c r="U301">
        <f t="shared" si="28"/>
        <v>115</v>
      </c>
      <c r="V301">
        <f t="shared" si="28"/>
        <v>115</v>
      </c>
      <c r="W301" s="5">
        <f t="shared" si="25"/>
        <v>913</v>
      </c>
      <c r="X301" s="9" t="str">
        <f t="shared" si="26"/>
        <v>a913</v>
      </c>
    </row>
    <row r="302" spans="1:24" x14ac:dyDescent="0.2">
      <c r="A302" s="9" t="s">
        <v>425</v>
      </c>
      <c r="B302" s="9">
        <v>1</v>
      </c>
      <c r="C302" s="17">
        <v>6</v>
      </c>
      <c r="D302" s="20"/>
      <c r="E302" s="18">
        <v>45208</v>
      </c>
      <c r="F302" s="18" t="s">
        <v>362</v>
      </c>
      <c r="G302" s="20" t="s">
        <v>39</v>
      </c>
      <c r="H302" s="19">
        <v>0.28000000000000003</v>
      </c>
      <c r="I302" s="20" t="s">
        <v>151</v>
      </c>
      <c r="J302" s="20" t="s">
        <v>7</v>
      </c>
      <c r="K302" s="20" t="s">
        <v>9</v>
      </c>
      <c r="L302" s="20">
        <f t="shared" si="23"/>
        <v>673</v>
      </c>
      <c r="M302" s="4" t="str">
        <f>IF(Table3[[#This Row],[Afrondingsdatum YB]]="N/A","-",Table3[[#This Row],[Afrondingsdatum YB]]-Table3[[#This Row],[StartDatum]])</f>
        <v>-</v>
      </c>
      <c r="N302" s="4"/>
      <c r="O302">
        <f t="shared" si="27"/>
        <v>107</v>
      </c>
      <c r="P302">
        <f t="shared" si="28"/>
        <v>101</v>
      </c>
      <c r="Q302">
        <f t="shared" si="28"/>
        <v>110</v>
      </c>
      <c r="R302">
        <f t="shared" si="28"/>
        <v>97</v>
      </c>
      <c r="S302">
        <f t="shared" si="28"/>
        <v>110</v>
      </c>
      <c r="T302">
        <f t="shared" si="28"/>
        <v>46</v>
      </c>
      <c r="U302">
        <f t="shared" si="28"/>
        <v>102</v>
      </c>
      <c r="V302">
        <f t="shared" si="28"/>
        <v>108</v>
      </c>
      <c r="W302" s="5">
        <f t="shared" si="25"/>
        <v>878</v>
      </c>
      <c r="X302" s="9" t="str">
        <f t="shared" si="26"/>
        <v>e878</v>
      </c>
    </row>
    <row r="303" spans="1:24" x14ac:dyDescent="0.2">
      <c r="A303" s="9" t="s">
        <v>425</v>
      </c>
      <c r="B303" s="9">
        <v>1</v>
      </c>
      <c r="C303" s="17">
        <v>6</v>
      </c>
      <c r="D303" s="20"/>
      <c r="E303" s="23">
        <v>45208</v>
      </c>
      <c r="F303" s="23" t="s">
        <v>363</v>
      </c>
      <c r="G303" s="25" t="s">
        <v>40</v>
      </c>
      <c r="H303" s="24">
        <v>0.13</v>
      </c>
      <c r="I303" s="25" t="s">
        <v>110</v>
      </c>
      <c r="J303" s="25" t="s">
        <v>7</v>
      </c>
      <c r="K303" s="25" t="s">
        <v>9</v>
      </c>
      <c r="L303" s="25">
        <f t="shared" si="23"/>
        <v>685</v>
      </c>
      <c r="M303" s="4" t="str">
        <f>IF(Table3[[#This Row],[Afrondingsdatum YB]]="N/A","-",Table3[[#This Row],[Afrondingsdatum YB]]-Table3[[#This Row],[StartDatum]])</f>
        <v>-</v>
      </c>
      <c r="N303" s="4"/>
      <c r="O303">
        <f t="shared" si="27"/>
        <v>107</v>
      </c>
      <c r="P303">
        <f t="shared" si="28"/>
        <v>101</v>
      </c>
      <c r="Q303">
        <f t="shared" si="28"/>
        <v>118</v>
      </c>
      <c r="R303">
        <f t="shared" si="28"/>
        <v>105</v>
      </c>
      <c r="S303">
        <f t="shared" si="28"/>
        <v>110</v>
      </c>
      <c r="T303">
        <f t="shared" si="28"/>
        <v>46</v>
      </c>
      <c r="U303">
        <f t="shared" si="28"/>
        <v>98</v>
      </c>
      <c r="V303">
        <f t="shared" si="28"/>
        <v>97</v>
      </c>
      <c r="W303" s="5">
        <f t="shared" si="25"/>
        <v>889</v>
      </c>
      <c r="X303" s="9" t="str">
        <f t="shared" si="26"/>
        <v>e889</v>
      </c>
    </row>
    <row r="304" spans="1:24" x14ac:dyDescent="0.2">
      <c r="A304" s="9" t="s">
        <v>425</v>
      </c>
      <c r="B304" s="9">
        <v>1</v>
      </c>
      <c r="C304" s="17">
        <v>6</v>
      </c>
      <c r="D304" s="20"/>
      <c r="E304" s="18">
        <v>45208</v>
      </c>
      <c r="F304" s="18" t="s">
        <v>363</v>
      </c>
      <c r="G304" s="20" t="s">
        <v>41</v>
      </c>
      <c r="H304" s="19">
        <v>0</v>
      </c>
      <c r="I304" s="20" t="s">
        <v>8</v>
      </c>
      <c r="J304" s="20" t="s">
        <v>7</v>
      </c>
      <c r="K304" s="20" t="s">
        <v>9</v>
      </c>
      <c r="L304" s="20">
        <f t="shared" si="23"/>
        <v>694</v>
      </c>
      <c r="M304" s="4" t="str">
        <f>IF(Table3[[#This Row],[Afrondingsdatum YB]]="N/A","-",Table3[[#This Row],[Afrondingsdatum YB]]-Table3[[#This Row],[StartDatum]])</f>
        <v>-</v>
      </c>
      <c r="N304" s="4"/>
      <c r="O304">
        <f t="shared" si="27"/>
        <v>107</v>
      </c>
      <c r="P304">
        <f t="shared" si="28"/>
        <v>106</v>
      </c>
      <c r="Q304">
        <f t="shared" si="28"/>
        <v>101</v>
      </c>
      <c r="R304">
        <f t="shared" si="28"/>
        <v>108</v>
      </c>
      <c r="S304">
        <f t="shared" si="28"/>
        <v>108</v>
      </c>
      <c r="T304">
        <f t="shared" si="28"/>
        <v>46</v>
      </c>
      <c r="U304">
        <f t="shared" si="28"/>
        <v>118</v>
      </c>
      <c r="V304">
        <f t="shared" si="28"/>
        <v>97</v>
      </c>
      <c r="W304" s="5">
        <f t="shared" si="25"/>
        <v>859</v>
      </c>
      <c r="X304" s="9" t="str">
        <f t="shared" si="26"/>
        <v>j859</v>
      </c>
    </row>
    <row r="305" spans="1:24" x14ac:dyDescent="0.2">
      <c r="A305" s="9" t="s">
        <v>425</v>
      </c>
      <c r="B305" s="9">
        <v>1</v>
      </c>
      <c r="C305" s="17">
        <v>6</v>
      </c>
      <c r="D305" s="20"/>
      <c r="E305" s="23">
        <v>45208</v>
      </c>
      <c r="F305" s="23" t="s">
        <v>362</v>
      </c>
      <c r="G305" s="25" t="s">
        <v>79</v>
      </c>
      <c r="H305" s="24">
        <v>0.69</v>
      </c>
      <c r="I305" s="25" t="s">
        <v>152</v>
      </c>
      <c r="J305" s="25" t="s">
        <v>7</v>
      </c>
      <c r="K305" s="25" t="s">
        <v>9</v>
      </c>
      <c r="L305" s="25">
        <f t="shared" si="23"/>
        <v>679</v>
      </c>
      <c r="M305" s="4" t="str">
        <f>IF(Table3[[#This Row],[Afrondingsdatum YB]]="N/A","-",Table3[[#This Row],[Afrondingsdatum YB]]-Table3[[#This Row],[StartDatum]])</f>
        <v>-</v>
      </c>
      <c r="N305" s="4"/>
      <c r="O305">
        <f t="shared" si="27"/>
        <v>108</v>
      </c>
      <c r="P305">
        <f t="shared" si="28"/>
        <v>97</v>
      </c>
      <c r="Q305">
        <f t="shared" si="28"/>
        <v>109</v>
      </c>
      <c r="R305">
        <f t="shared" si="28"/>
        <v>121</v>
      </c>
      <c r="S305">
        <f t="shared" si="28"/>
        <v>97</v>
      </c>
      <c r="T305">
        <f t="shared" si="28"/>
        <v>101</v>
      </c>
      <c r="U305">
        <f t="shared" si="28"/>
        <v>46</v>
      </c>
      <c r="V305">
        <f t="shared" si="28"/>
        <v>101</v>
      </c>
      <c r="W305" s="5">
        <f t="shared" si="25"/>
        <v>859</v>
      </c>
      <c r="X305" s="9" t="str">
        <f t="shared" si="26"/>
        <v>a859</v>
      </c>
    </row>
    <row r="306" spans="1:24" x14ac:dyDescent="0.2">
      <c r="A306" s="9" t="s">
        <v>425</v>
      </c>
      <c r="B306" s="9">
        <v>1</v>
      </c>
      <c r="C306" s="17">
        <v>6</v>
      </c>
      <c r="D306" s="20"/>
      <c r="E306" s="18">
        <v>45208</v>
      </c>
      <c r="F306" s="18" t="s">
        <v>363</v>
      </c>
      <c r="G306" s="20" t="s">
        <v>42</v>
      </c>
      <c r="H306" s="19">
        <v>0.03</v>
      </c>
      <c r="I306" s="20" t="s">
        <v>130</v>
      </c>
      <c r="J306" s="20" t="s">
        <v>7</v>
      </c>
      <c r="K306" s="20" t="s">
        <v>9</v>
      </c>
      <c r="L306" s="20">
        <f t="shared" si="23"/>
        <v>687</v>
      </c>
      <c r="M306" s="4" t="str">
        <f>IF(Table3[[#This Row],[Afrondingsdatum YB]]="N/A","-",Table3[[#This Row],[Afrondingsdatum YB]]-Table3[[#This Row],[StartDatum]])</f>
        <v>-</v>
      </c>
      <c r="N306" s="4"/>
      <c r="O306">
        <f t="shared" si="27"/>
        <v>108</v>
      </c>
      <c r="P306">
        <f t="shared" si="28"/>
        <v>105</v>
      </c>
      <c r="Q306">
        <f t="shared" si="28"/>
        <v>110</v>
      </c>
      <c r="R306">
        <f t="shared" si="28"/>
        <v>100</v>
      </c>
      <c r="S306">
        <f t="shared" si="28"/>
        <v>121</v>
      </c>
      <c r="T306">
        <f t="shared" si="28"/>
        <v>46</v>
      </c>
      <c r="U306">
        <f t="shared" si="28"/>
        <v>97</v>
      </c>
      <c r="V306">
        <f t="shared" si="28"/>
        <v>110</v>
      </c>
      <c r="W306" s="5">
        <f t="shared" si="25"/>
        <v>890</v>
      </c>
      <c r="X306" s="9" t="str">
        <f t="shared" si="26"/>
        <v>i890</v>
      </c>
    </row>
    <row r="307" spans="1:24" x14ac:dyDescent="0.2">
      <c r="A307" s="9" t="s">
        <v>425</v>
      </c>
      <c r="B307" s="9">
        <v>1</v>
      </c>
      <c r="C307" s="17">
        <v>6</v>
      </c>
      <c r="D307" s="20"/>
      <c r="E307" s="23">
        <v>45208</v>
      </c>
      <c r="F307" s="23" t="s">
        <v>363</v>
      </c>
      <c r="G307" s="25" t="s">
        <v>43</v>
      </c>
      <c r="H307" s="24">
        <v>0</v>
      </c>
      <c r="I307" s="25" t="s">
        <v>8</v>
      </c>
      <c r="J307" s="25" t="s">
        <v>7</v>
      </c>
      <c r="K307" s="25" t="s">
        <v>9</v>
      </c>
      <c r="L307" s="25">
        <f t="shared" si="23"/>
        <v>689</v>
      </c>
      <c r="M307" s="4" t="str">
        <f>IF(Table3[[#This Row],[Afrondingsdatum YB]]="N/A","-",Table3[[#This Row],[Afrondingsdatum YB]]-Table3[[#This Row],[StartDatum]])</f>
        <v>-</v>
      </c>
      <c r="N307" s="4"/>
      <c r="O307">
        <f t="shared" si="27"/>
        <v>108</v>
      </c>
      <c r="P307">
        <f t="shared" si="28"/>
        <v>117</v>
      </c>
      <c r="Q307">
        <f t="shared" si="28"/>
        <v>99</v>
      </c>
      <c r="R307">
        <f t="shared" si="28"/>
        <v>46</v>
      </c>
      <c r="S307">
        <f t="shared" si="28"/>
        <v>98</v>
      </c>
      <c r="T307">
        <f t="shared" si="28"/>
        <v>111</v>
      </c>
      <c r="U307">
        <f t="shared" si="28"/>
        <v>110</v>
      </c>
      <c r="V307">
        <f t="shared" si="28"/>
        <v>100</v>
      </c>
      <c r="W307" s="5">
        <f t="shared" si="25"/>
        <v>894</v>
      </c>
      <c r="X307" s="9" t="str">
        <f t="shared" si="26"/>
        <v>u894</v>
      </c>
    </row>
    <row r="308" spans="1:24" x14ac:dyDescent="0.2">
      <c r="A308" s="9" t="s">
        <v>425</v>
      </c>
      <c r="B308" s="9">
        <v>1</v>
      </c>
      <c r="C308" s="17">
        <v>6</v>
      </c>
      <c r="D308" s="20"/>
      <c r="E308" s="18">
        <v>45208</v>
      </c>
      <c r="F308" s="18" t="s">
        <v>364</v>
      </c>
      <c r="G308" s="20" t="s">
        <v>44</v>
      </c>
      <c r="H308" s="19">
        <v>0.77</v>
      </c>
      <c r="I308" s="20" t="s">
        <v>153</v>
      </c>
      <c r="J308" s="20" t="s">
        <v>7</v>
      </c>
      <c r="K308" s="20" t="s">
        <v>9</v>
      </c>
      <c r="L308" s="20">
        <f t="shared" si="23"/>
        <v>680</v>
      </c>
      <c r="M308" s="4" t="str">
        <f>IF(Table3[[#This Row],[Afrondingsdatum YB]]="N/A","-",Table3[[#This Row],[Afrondingsdatum YB]]-Table3[[#This Row],[StartDatum]])</f>
        <v>-</v>
      </c>
      <c r="N308" s="4"/>
      <c r="O308">
        <f t="shared" si="27"/>
        <v>108</v>
      </c>
      <c r="P308">
        <f t="shared" si="28"/>
        <v>117</v>
      </c>
      <c r="Q308">
        <f t="shared" si="28"/>
        <v>99</v>
      </c>
      <c r="R308">
        <f t="shared" si="28"/>
        <v>97</v>
      </c>
      <c r="S308">
        <f t="shared" si="28"/>
        <v>115</v>
      </c>
      <c r="T308">
        <f t="shared" si="28"/>
        <v>46</v>
      </c>
      <c r="U308">
        <f t="shared" si="28"/>
        <v>98</v>
      </c>
      <c r="V308">
        <f t="shared" si="28"/>
        <v>114</v>
      </c>
      <c r="W308" s="5">
        <f t="shared" si="25"/>
        <v>861</v>
      </c>
      <c r="X308" s="9" t="str">
        <f t="shared" si="26"/>
        <v>u861</v>
      </c>
    </row>
    <row r="309" spans="1:24" x14ac:dyDescent="0.2">
      <c r="A309" s="9" t="s">
        <v>425</v>
      </c>
      <c r="B309" s="9">
        <v>1</v>
      </c>
      <c r="C309" s="17">
        <v>6</v>
      </c>
      <c r="D309" s="20"/>
      <c r="E309" s="23">
        <v>45208</v>
      </c>
      <c r="F309" s="23" t="s">
        <v>363</v>
      </c>
      <c r="G309" s="25" t="s">
        <v>81</v>
      </c>
      <c r="H309" s="24">
        <v>0</v>
      </c>
      <c r="I309" s="25" t="s">
        <v>8</v>
      </c>
      <c r="J309" s="25" t="s">
        <v>7</v>
      </c>
      <c r="K309" s="25" t="s">
        <v>9</v>
      </c>
      <c r="L309" s="25">
        <f t="shared" si="23"/>
        <v>668</v>
      </c>
      <c r="M309" s="4" t="str">
        <f>IF(Table3[[#This Row],[Afrondingsdatum YB]]="N/A","-",Table3[[#This Row],[Afrondingsdatum YB]]-Table3[[#This Row],[StartDatum]])</f>
        <v>-</v>
      </c>
      <c r="N309" s="4"/>
      <c r="O309">
        <f t="shared" si="27"/>
        <v>76</v>
      </c>
      <c r="P309">
        <f t="shared" si="28"/>
        <v>117</v>
      </c>
      <c r="Q309">
        <f t="shared" si="28"/>
        <v>99</v>
      </c>
      <c r="R309">
        <f t="shared" si="28"/>
        <v>97</v>
      </c>
      <c r="S309">
        <f t="shared" si="28"/>
        <v>115</v>
      </c>
      <c r="T309">
        <f t="shared" si="28"/>
        <v>46</v>
      </c>
      <c r="U309">
        <f t="shared" si="28"/>
        <v>118</v>
      </c>
      <c r="V309">
        <f t="shared" si="28"/>
        <v>97</v>
      </c>
      <c r="W309" s="5">
        <f t="shared" si="25"/>
        <v>832</v>
      </c>
      <c r="X309" s="9" t="str">
        <f t="shared" si="26"/>
        <v>u832</v>
      </c>
    </row>
    <row r="310" spans="1:24" x14ac:dyDescent="0.2">
      <c r="A310" s="9" t="s">
        <v>425</v>
      </c>
      <c r="B310" s="9">
        <v>1</v>
      </c>
      <c r="C310" s="17">
        <v>6</v>
      </c>
      <c r="D310" s="20"/>
      <c r="E310" s="18">
        <v>45208</v>
      </c>
      <c r="F310" s="18" t="s">
        <v>364</v>
      </c>
      <c r="G310" s="20" t="s">
        <v>45</v>
      </c>
      <c r="H310" s="19">
        <v>0.53</v>
      </c>
      <c r="I310" s="20" t="s">
        <v>154</v>
      </c>
      <c r="J310" s="20" t="s">
        <v>7</v>
      </c>
      <c r="K310" s="20" t="s">
        <v>9</v>
      </c>
      <c r="L310" s="20">
        <f t="shared" si="23"/>
        <v>757</v>
      </c>
      <c r="M310" s="4" t="str">
        <f>IF(Table3[[#This Row],[Afrondingsdatum YB]]="N/A","-",Table3[[#This Row],[Afrondingsdatum YB]]-Table3[[#This Row],[StartDatum]])</f>
        <v>-</v>
      </c>
      <c r="N310" s="4"/>
      <c r="O310">
        <f t="shared" si="27"/>
        <v>109</v>
      </c>
      <c r="P310">
        <f t="shared" si="28"/>
        <v>97</v>
      </c>
      <c r="Q310">
        <f t="shared" si="28"/>
        <v>114</v>
      </c>
      <c r="R310">
        <f t="shared" si="28"/>
        <v>116</v>
      </c>
      <c r="S310">
        <f t="shared" si="28"/>
        <v>105</v>
      </c>
      <c r="T310">
        <f t="shared" si="28"/>
        <v>106</v>
      </c>
      <c r="U310">
        <f t="shared" si="28"/>
        <v>110</v>
      </c>
      <c r="V310">
        <f t="shared" si="28"/>
        <v>46</v>
      </c>
      <c r="W310" s="5">
        <f t="shared" si="25"/>
        <v>896</v>
      </c>
      <c r="X310" s="9" t="str">
        <f t="shared" si="26"/>
        <v>a896</v>
      </c>
    </row>
    <row r="311" spans="1:24" x14ac:dyDescent="0.2">
      <c r="A311" s="9" t="s">
        <v>425</v>
      </c>
      <c r="B311" s="9">
        <v>1</v>
      </c>
      <c r="C311" s="17">
        <v>6</v>
      </c>
      <c r="D311" s="20"/>
      <c r="E311" s="23">
        <v>45208</v>
      </c>
      <c r="F311" s="23" t="s">
        <v>364</v>
      </c>
      <c r="G311" s="25" t="s">
        <v>46</v>
      </c>
      <c r="H311" s="24">
        <v>0.96</v>
      </c>
      <c r="I311" s="25" t="s">
        <v>155</v>
      </c>
      <c r="J311" s="25" t="s">
        <v>7</v>
      </c>
      <c r="K311" s="25" t="s">
        <v>9</v>
      </c>
      <c r="L311" s="25">
        <f t="shared" si="23"/>
        <v>682</v>
      </c>
      <c r="M311" s="4" t="str">
        <f>IF(Table3[[#This Row],[Afrondingsdatum YB]]="N/A","-",Table3[[#This Row],[Afrondingsdatum YB]]-Table3[[#This Row],[StartDatum]])</f>
        <v>-</v>
      </c>
      <c r="N311" s="4"/>
      <c r="O311">
        <f t="shared" si="27"/>
        <v>109</v>
      </c>
      <c r="P311">
        <f t="shared" si="28"/>
        <v>97</v>
      </c>
      <c r="Q311">
        <f t="shared" si="28"/>
        <v>114</v>
      </c>
      <c r="R311">
        <f t="shared" si="28"/>
        <v>119</v>
      </c>
      <c r="S311">
        <f t="shared" si="28"/>
        <v>97</v>
      </c>
      <c r="T311">
        <f t="shared" si="28"/>
        <v>46</v>
      </c>
      <c r="U311">
        <f t="shared" si="28"/>
        <v>100</v>
      </c>
      <c r="V311">
        <f t="shared" si="28"/>
        <v>97</v>
      </c>
      <c r="W311" s="5">
        <f t="shared" si="25"/>
        <v>869</v>
      </c>
      <c r="X311" s="9" t="str">
        <f t="shared" si="26"/>
        <v>a869</v>
      </c>
    </row>
    <row r="312" spans="1:24" x14ac:dyDescent="0.2">
      <c r="A312" s="9" t="s">
        <v>425</v>
      </c>
      <c r="B312" s="9">
        <v>1</v>
      </c>
      <c r="C312" s="17">
        <v>6</v>
      </c>
      <c r="D312" s="20"/>
      <c r="E312" s="18">
        <v>45208</v>
      </c>
      <c r="F312" s="18" t="s">
        <v>364</v>
      </c>
      <c r="G312" s="20" t="s">
        <v>47</v>
      </c>
      <c r="H312" s="19">
        <v>0</v>
      </c>
      <c r="I312" s="20" t="s">
        <v>8</v>
      </c>
      <c r="J312" s="20" t="s">
        <v>7</v>
      </c>
      <c r="K312" s="20" t="s">
        <v>9</v>
      </c>
      <c r="L312" s="20">
        <f t="shared" si="23"/>
        <v>673</v>
      </c>
      <c r="M312" s="4" t="str">
        <f>IF(Table3[[#This Row],[Afrondingsdatum YB]]="N/A","-",Table3[[#This Row],[Afrondingsdatum YB]]-Table3[[#This Row],[StartDatum]])</f>
        <v>-</v>
      </c>
      <c r="N312" s="4"/>
      <c r="O312">
        <f t="shared" si="27"/>
        <v>109</v>
      </c>
      <c r="P312">
        <f t="shared" si="28"/>
        <v>101</v>
      </c>
      <c r="Q312">
        <f t="shared" si="28"/>
        <v>101</v>
      </c>
      <c r="R312">
        <f t="shared" si="28"/>
        <v>115</v>
      </c>
      <c r="S312">
        <f t="shared" si="28"/>
        <v>46</v>
      </c>
      <c r="T312">
        <f t="shared" si="28"/>
        <v>100</v>
      </c>
      <c r="U312">
        <f t="shared" si="28"/>
        <v>101</v>
      </c>
      <c r="V312">
        <f t="shared" si="28"/>
        <v>46</v>
      </c>
      <c r="W312" s="5">
        <f t="shared" si="25"/>
        <v>784</v>
      </c>
      <c r="X312" s="9" t="str">
        <f t="shared" si="26"/>
        <v>e784</v>
      </c>
    </row>
    <row r="313" spans="1:24" x14ac:dyDescent="0.2">
      <c r="A313" s="9" t="s">
        <v>425</v>
      </c>
      <c r="B313" s="9">
        <v>1</v>
      </c>
      <c r="C313" s="17">
        <v>6</v>
      </c>
      <c r="D313" s="20"/>
      <c r="E313" s="23">
        <v>45208</v>
      </c>
      <c r="F313" s="23" t="s">
        <v>363</v>
      </c>
      <c r="G313" s="25" t="s">
        <v>48</v>
      </c>
      <c r="H313" s="24">
        <v>0.4</v>
      </c>
      <c r="I313" s="25" t="s">
        <v>156</v>
      </c>
      <c r="J313" s="25" t="s">
        <v>7</v>
      </c>
      <c r="K313" s="25" t="s">
        <v>9</v>
      </c>
      <c r="L313" s="25">
        <f t="shared" si="23"/>
        <v>675</v>
      </c>
      <c r="M313" s="4" t="str">
        <f>IF(Table3[[#This Row],[Afrondingsdatum YB]]="N/A","-",Table3[[#This Row],[Afrondingsdatum YB]]-Table3[[#This Row],[StartDatum]])</f>
        <v>-</v>
      </c>
      <c r="N313" s="4"/>
      <c r="O313">
        <f t="shared" si="27"/>
        <v>109</v>
      </c>
      <c r="P313">
        <f t="shared" si="28"/>
        <v>105</v>
      </c>
      <c r="Q313">
        <f t="shared" si="28"/>
        <v>108</v>
      </c>
      <c r="R313">
        <f t="shared" si="28"/>
        <v>97</v>
      </c>
      <c r="S313">
        <f t="shared" si="28"/>
        <v>110</v>
      </c>
      <c r="T313">
        <f t="shared" si="28"/>
        <v>46</v>
      </c>
      <c r="U313">
        <f t="shared" si="28"/>
        <v>100</v>
      </c>
      <c r="V313">
        <f t="shared" si="28"/>
        <v>105</v>
      </c>
      <c r="W313" s="5">
        <f t="shared" si="25"/>
        <v>871</v>
      </c>
      <c r="X313" s="9" t="str">
        <f t="shared" si="26"/>
        <v>i871</v>
      </c>
    </row>
    <row r="314" spans="1:24" x14ac:dyDescent="0.2">
      <c r="A314" s="9" t="s">
        <v>425</v>
      </c>
      <c r="B314" s="9">
        <v>1</v>
      </c>
      <c r="C314" s="17">
        <v>6</v>
      </c>
      <c r="D314" s="20"/>
      <c r="E314" s="18">
        <v>45208</v>
      </c>
      <c r="F314" s="18" t="s">
        <v>364</v>
      </c>
      <c r="G314" s="20" t="s">
        <v>49</v>
      </c>
      <c r="H314" s="19">
        <v>0.45</v>
      </c>
      <c r="I314" s="20" t="s">
        <v>157</v>
      </c>
      <c r="J314" s="20" t="s">
        <v>7</v>
      </c>
      <c r="K314" s="20" t="s">
        <v>9</v>
      </c>
      <c r="L314" s="20">
        <f t="shared" si="23"/>
        <v>690</v>
      </c>
      <c r="M314" s="4" t="str">
        <f>IF(Table3[[#This Row],[Afrondingsdatum YB]]="N/A","-",Table3[[#This Row],[Afrondingsdatum YB]]-Table3[[#This Row],[StartDatum]])</f>
        <v>-</v>
      </c>
      <c r="N314" s="4"/>
      <c r="O314">
        <f t="shared" si="27"/>
        <v>109</v>
      </c>
      <c r="P314">
        <f t="shared" si="28"/>
        <v>105</v>
      </c>
      <c r="Q314">
        <f t="shared" si="28"/>
        <v>114</v>
      </c>
      <c r="R314">
        <f t="shared" si="28"/>
        <v>110</v>
      </c>
      <c r="S314">
        <f t="shared" si="28"/>
        <v>97</v>
      </c>
      <c r="T314">
        <f t="shared" si="28"/>
        <v>46</v>
      </c>
      <c r="U314">
        <f t="shared" si="28"/>
        <v>109</v>
      </c>
      <c r="V314">
        <f t="shared" si="28"/>
        <v>111</v>
      </c>
      <c r="W314" s="5">
        <f t="shared" si="25"/>
        <v>894</v>
      </c>
      <c r="X314" s="9" t="str">
        <f t="shared" si="26"/>
        <v>i894</v>
      </c>
    </row>
    <row r="315" spans="1:24" x14ac:dyDescent="0.2">
      <c r="A315" s="9" t="s">
        <v>425</v>
      </c>
      <c r="B315" s="9">
        <v>1</v>
      </c>
      <c r="C315" s="17">
        <v>6</v>
      </c>
      <c r="D315" s="20"/>
      <c r="E315" s="23">
        <v>45208</v>
      </c>
      <c r="F315" s="23" t="s">
        <v>364</v>
      </c>
      <c r="G315" s="25" t="s">
        <v>50</v>
      </c>
      <c r="H315" s="24">
        <v>0.51</v>
      </c>
      <c r="I315" s="25" t="s">
        <v>111</v>
      </c>
      <c r="J315" s="25" t="s">
        <v>7</v>
      </c>
      <c r="K315" s="25" t="s">
        <v>9</v>
      </c>
      <c r="L315" s="25">
        <f t="shared" si="23"/>
        <v>731</v>
      </c>
      <c r="M315" s="4" t="str">
        <f>IF(Table3[[#This Row],[Afrondingsdatum YB]]="N/A","-",Table3[[#This Row],[Afrondingsdatum YB]]-Table3[[#This Row],[StartDatum]])</f>
        <v>-</v>
      </c>
      <c r="N315" s="4"/>
      <c r="O315">
        <f t="shared" si="27"/>
        <v>109</v>
      </c>
      <c r="P315">
        <f t="shared" si="28"/>
        <v>111</v>
      </c>
      <c r="Q315">
        <f t="shared" si="28"/>
        <v>104</v>
      </c>
      <c r="R315">
        <f t="shared" si="28"/>
        <v>97</v>
      </c>
      <c r="S315">
        <f t="shared" si="28"/>
        <v>109</v>
      </c>
      <c r="T315">
        <f t="shared" si="28"/>
        <v>101</v>
      </c>
      <c r="U315">
        <f t="shared" si="28"/>
        <v>100</v>
      </c>
      <c r="V315">
        <f t="shared" si="28"/>
        <v>46</v>
      </c>
      <c r="W315" s="5">
        <f t="shared" si="25"/>
        <v>857</v>
      </c>
      <c r="X315" s="9" t="str">
        <f t="shared" si="26"/>
        <v>o857</v>
      </c>
    </row>
    <row r="316" spans="1:24" x14ac:dyDescent="0.2">
      <c r="A316" s="9" t="s">
        <v>425</v>
      </c>
      <c r="B316" s="9">
        <v>1</v>
      </c>
      <c r="C316" s="17">
        <v>6</v>
      </c>
      <c r="D316" s="20"/>
      <c r="E316" s="18">
        <v>45208</v>
      </c>
      <c r="F316" s="18" t="s">
        <v>362</v>
      </c>
      <c r="G316" s="20" t="s">
        <v>127</v>
      </c>
      <c r="H316" s="19">
        <v>0</v>
      </c>
      <c r="I316" s="20" t="s">
        <v>8</v>
      </c>
      <c r="J316" s="20" t="s">
        <v>7</v>
      </c>
      <c r="K316" s="20" t="s">
        <v>9</v>
      </c>
      <c r="L316" s="20">
        <f t="shared" si="23"/>
        <v>758</v>
      </c>
      <c r="M316" s="4" t="str">
        <f>IF(Table3[[#This Row],[Afrondingsdatum YB]]="N/A","-",Table3[[#This Row],[Afrondingsdatum YB]]-Table3[[#This Row],[StartDatum]])</f>
        <v>-</v>
      </c>
      <c r="N316" s="4"/>
      <c r="O316">
        <f t="shared" si="27"/>
        <v>109</v>
      </c>
      <c r="P316">
        <f t="shared" si="28"/>
        <v>111</v>
      </c>
      <c r="Q316">
        <f t="shared" si="28"/>
        <v>107</v>
      </c>
      <c r="R316">
        <f t="shared" si="28"/>
        <v>104</v>
      </c>
      <c r="S316">
        <f t="shared" si="28"/>
        <v>116</v>
      </c>
      <c r="T316">
        <f t="shared" si="28"/>
        <v>97</v>
      </c>
      <c r="U316">
        <f t="shared" si="28"/>
        <v>114</v>
      </c>
      <c r="V316">
        <f t="shared" si="28"/>
        <v>46</v>
      </c>
      <c r="W316" s="5">
        <f t="shared" si="25"/>
        <v>885</v>
      </c>
      <c r="X316" s="9" t="str">
        <f t="shared" si="26"/>
        <v>o885</v>
      </c>
    </row>
    <row r="317" spans="1:24" x14ac:dyDescent="0.2">
      <c r="A317" s="9" t="s">
        <v>425</v>
      </c>
      <c r="B317" s="9">
        <v>1</v>
      </c>
      <c r="C317" s="17">
        <v>6</v>
      </c>
      <c r="D317" s="20"/>
      <c r="E317" s="23">
        <v>45208</v>
      </c>
      <c r="F317" s="23" t="s">
        <v>363</v>
      </c>
      <c r="G317" s="25" t="s">
        <v>51</v>
      </c>
      <c r="H317" s="24">
        <v>0.17</v>
      </c>
      <c r="I317" s="25" t="s">
        <v>128</v>
      </c>
      <c r="J317" s="25" t="s">
        <v>7</v>
      </c>
      <c r="K317" s="25" t="s">
        <v>9</v>
      </c>
      <c r="L317" s="25">
        <f t="shared" si="23"/>
        <v>742</v>
      </c>
      <c r="M317" s="4" t="str">
        <f>IF(Table3[[#This Row],[Afrondingsdatum YB]]="N/A","-",Table3[[#This Row],[Afrondingsdatum YB]]-Table3[[#This Row],[StartDatum]])</f>
        <v>-</v>
      </c>
      <c r="N317" s="4"/>
      <c r="O317">
        <f t="shared" si="27"/>
        <v>110</v>
      </c>
      <c r="P317">
        <f t="shared" si="28"/>
        <v>97</v>
      </c>
      <c r="Q317">
        <f t="shared" si="28"/>
        <v>111</v>
      </c>
      <c r="R317">
        <f t="shared" si="28"/>
        <v>117</v>
      </c>
      <c r="S317">
        <f t="shared" si="28"/>
        <v>102</v>
      </c>
      <c r="T317">
        <f t="shared" si="28"/>
        <v>97</v>
      </c>
      <c r="U317">
        <f t="shared" si="28"/>
        <v>108</v>
      </c>
      <c r="V317">
        <f t="shared" si="28"/>
        <v>46</v>
      </c>
      <c r="W317" s="5">
        <f t="shared" si="25"/>
        <v>874</v>
      </c>
      <c r="X317" s="9" t="str">
        <f t="shared" si="26"/>
        <v>a874</v>
      </c>
    </row>
    <row r="318" spans="1:24" x14ac:dyDescent="0.2">
      <c r="A318" s="9" t="s">
        <v>425</v>
      </c>
      <c r="B318" s="9">
        <v>1</v>
      </c>
      <c r="C318" s="17">
        <v>6</v>
      </c>
      <c r="D318" s="20"/>
      <c r="E318" s="18">
        <v>45208</v>
      </c>
      <c r="F318" s="18" t="s">
        <v>362</v>
      </c>
      <c r="G318" s="20" t="s">
        <v>52</v>
      </c>
      <c r="H318" s="19">
        <v>0</v>
      </c>
      <c r="I318" s="20" t="s">
        <v>8</v>
      </c>
      <c r="J318" s="20" t="s">
        <v>7</v>
      </c>
      <c r="K318" s="20" t="s">
        <v>9</v>
      </c>
      <c r="L318" s="20">
        <f t="shared" si="23"/>
        <v>684</v>
      </c>
      <c r="M318" s="4" t="str">
        <f>IF(Table3[[#This Row],[Afrondingsdatum YB]]="N/A","-",Table3[[#This Row],[Afrondingsdatum YB]]-Table3[[#This Row],[StartDatum]])</f>
        <v>-</v>
      </c>
      <c r="N318" s="4"/>
      <c r="O318">
        <f t="shared" si="27"/>
        <v>110</v>
      </c>
      <c r="P318">
        <f t="shared" si="28"/>
        <v>105</v>
      </c>
      <c r="Q318">
        <f t="shared" si="28"/>
        <v>99</v>
      </c>
      <c r="R318">
        <f t="shared" si="28"/>
        <v>107</v>
      </c>
      <c r="S318">
        <f t="shared" si="28"/>
        <v>46</v>
      </c>
      <c r="T318">
        <f t="shared" si="28"/>
        <v>106</v>
      </c>
      <c r="U318">
        <f t="shared" si="28"/>
        <v>111</v>
      </c>
      <c r="V318">
        <f t="shared" si="28"/>
        <v>111</v>
      </c>
      <c r="W318" s="5">
        <f t="shared" si="25"/>
        <v>860</v>
      </c>
      <c r="X318" s="9" t="str">
        <f t="shared" si="26"/>
        <v>i860</v>
      </c>
    </row>
    <row r="319" spans="1:24" x14ac:dyDescent="0.2">
      <c r="A319" s="9" t="s">
        <v>425</v>
      </c>
      <c r="B319" s="9">
        <v>1</v>
      </c>
      <c r="C319" s="17">
        <v>6</v>
      </c>
      <c r="D319" s="20"/>
      <c r="E319" s="23">
        <v>45208</v>
      </c>
      <c r="F319" s="23" t="s">
        <v>364</v>
      </c>
      <c r="G319" s="25" t="s">
        <v>53</v>
      </c>
      <c r="H319" s="24">
        <v>0</v>
      </c>
      <c r="I319" s="25" t="s">
        <v>8</v>
      </c>
      <c r="J319" s="25" t="s">
        <v>7</v>
      </c>
      <c r="K319" s="25" t="s">
        <v>9</v>
      </c>
      <c r="L319" s="25">
        <f t="shared" si="23"/>
        <v>737</v>
      </c>
      <c r="M319" s="4" t="str">
        <f>IF(Table3[[#This Row],[Afrondingsdatum YB]]="N/A","-",Table3[[#This Row],[Afrondingsdatum YB]]-Table3[[#This Row],[StartDatum]])</f>
        <v>-</v>
      </c>
      <c r="N319" s="4"/>
      <c r="O319">
        <f t="shared" si="27"/>
        <v>110</v>
      </c>
      <c r="P319">
        <f t="shared" si="28"/>
        <v>105</v>
      </c>
      <c r="Q319">
        <f t="shared" si="28"/>
        <v>99</v>
      </c>
      <c r="R319">
        <f t="shared" si="28"/>
        <v>107</v>
      </c>
      <c r="S319">
        <f t="shared" si="28"/>
        <v>111</v>
      </c>
      <c r="T319">
        <f t="shared" si="28"/>
        <v>108</v>
      </c>
      <c r="U319">
        <f t="shared" si="28"/>
        <v>97</v>
      </c>
      <c r="V319">
        <f t="shared" si="28"/>
        <v>115</v>
      </c>
      <c r="W319" s="5">
        <f t="shared" si="25"/>
        <v>917</v>
      </c>
      <c r="X319" s="9" t="str">
        <f t="shared" si="26"/>
        <v>i917</v>
      </c>
    </row>
    <row r="320" spans="1:24" x14ac:dyDescent="0.2">
      <c r="A320" s="9" t="s">
        <v>425</v>
      </c>
      <c r="B320" s="9">
        <v>1</v>
      </c>
      <c r="C320" s="17">
        <v>6</v>
      </c>
      <c r="D320" s="20"/>
      <c r="E320" s="18">
        <v>45208</v>
      </c>
      <c r="F320" s="18" t="s">
        <v>364</v>
      </c>
      <c r="G320" s="20" t="s">
        <v>54</v>
      </c>
      <c r="H320" s="19">
        <v>0</v>
      </c>
      <c r="I320" s="20" t="s">
        <v>8</v>
      </c>
      <c r="J320" s="20" t="s">
        <v>7</v>
      </c>
      <c r="K320" s="20" t="s">
        <v>9</v>
      </c>
      <c r="L320" s="20">
        <f t="shared" si="23"/>
        <v>705</v>
      </c>
      <c r="M320" s="4" t="str">
        <f>IF(Table3[[#This Row],[Afrondingsdatum YB]]="N/A","-",Table3[[#This Row],[Afrondingsdatum YB]]-Table3[[#This Row],[StartDatum]])</f>
        <v>-</v>
      </c>
      <c r="N320" s="4"/>
      <c r="O320">
        <f t="shared" si="27"/>
        <v>110</v>
      </c>
      <c r="P320">
        <f t="shared" si="28"/>
        <v>105</v>
      </c>
      <c r="Q320">
        <f t="shared" si="28"/>
        <v>115</v>
      </c>
      <c r="R320">
        <f t="shared" si="28"/>
        <v>114</v>
      </c>
      <c r="S320">
        <f t="shared" si="28"/>
        <v>105</v>
      </c>
      <c r="T320">
        <f t="shared" si="28"/>
        <v>110</v>
      </c>
      <c r="U320">
        <f t="shared" si="28"/>
        <v>46</v>
      </c>
      <c r="V320">
        <f t="shared" si="28"/>
        <v>104</v>
      </c>
      <c r="W320" s="5">
        <f t="shared" si="25"/>
        <v>901</v>
      </c>
      <c r="X320" s="9" t="str">
        <f t="shared" si="26"/>
        <v>i901</v>
      </c>
    </row>
    <row r="321" spans="1:24" x14ac:dyDescent="0.2">
      <c r="A321" s="9" t="s">
        <v>425</v>
      </c>
      <c r="B321" s="9">
        <v>1</v>
      </c>
      <c r="C321" s="17">
        <v>6</v>
      </c>
      <c r="D321" s="20"/>
      <c r="E321" s="23">
        <v>45208</v>
      </c>
      <c r="F321" s="23" t="s">
        <v>364</v>
      </c>
      <c r="G321" s="25" t="s">
        <v>55</v>
      </c>
      <c r="H321" s="24">
        <v>0.98</v>
      </c>
      <c r="I321" s="25" t="s">
        <v>158</v>
      </c>
      <c r="J321" s="25" t="s">
        <v>7</v>
      </c>
      <c r="K321" s="25" t="s">
        <v>9</v>
      </c>
      <c r="L321" s="25">
        <f t="shared" si="23"/>
        <v>681</v>
      </c>
      <c r="M321" s="4" t="str">
        <f>IF(Table3[[#This Row],[Afrondingsdatum YB]]="N/A","-",Table3[[#This Row],[Afrondingsdatum YB]]-Table3[[#This Row],[StartDatum]])</f>
        <v>-</v>
      </c>
      <c r="N321" s="4"/>
      <c r="O321">
        <f t="shared" si="27"/>
        <v>110</v>
      </c>
      <c r="P321">
        <f t="shared" si="28"/>
        <v>111</v>
      </c>
      <c r="Q321">
        <f t="shared" si="28"/>
        <v>101</v>
      </c>
      <c r="R321">
        <f t="shared" si="28"/>
        <v>108</v>
      </c>
      <c r="S321">
        <f t="shared" si="28"/>
        <v>108</v>
      </c>
      <c r="T321">
        <f t="shared" si="28"/>
        <v>97</v>
      </c>
      <c r="U321">
        <f t="shared" si="28"/>
        <v>46</v>
      </c>
      <c r="V321">
        <f t="shared" si="28"/>
        <v>108</v>
      </c>
      <c r="W321" s="5">
        <f t="shared" si="25"/>
        <v>855</v>
      </c>
      <c r="X321" s="9" t="str">
        <f t="shared" si="26"/>
        <v>o855</v>
      </c>
    </row>
    <row r="322" spans="1:24" x14ac:dyDescent="0.2">
      <c r="A322" s="9" t="s">
        <v>425</v>
      </c>
      <c r="B322" s="9">
        <v>1</v>
      </c>
      <c r="C322" s="17">
        <v>6</v>
      </c>
      <c r="D322" s="20"/>
      <c r="E322" s="18">
        <v>45208</v>
      </c>
      <c r="F322" s="18" t="s">
        <v>363</v>
      </c>
      <c r="G322" s="20" t="s">
        <v>56</v>
      </c>
      <c r="H322" s="19">
        <v>0.53</v>
      </c>
      <c r="I322" s="20" t="s">
        <v>107</v>
      </c>
      <c r="J322" s="20" t="s">
        <v>7</v>
      </c>
      <c r="K322" s="20" t="s">
        <v>9</v>
      </c>
      <c r="L322" s="20">
        <f t="shared" ref="L322:L385" si="29">SUM(O322:U322)</f>
        <v>708</v>
      </c>
      <c r="M322" s="4" t="str">
        <f>IF(Table3[[#This Row],[Afrondingsdatum YB]]="N/A","-",Table3[[#This Row],[Afrondingsdatum YB]]-Table3[[#This Row],[StartDatum]])</f>
        <v>-</v>
      </c>
      <c r="N322" s="4"/>
      <c r="O322">
        <f t="shared" si="27"/>
        <v>110</v>
      </c>
      <c r="P322">
        <f t="shared" si="28"/>
        <v>117</v>
      </c>
      <c r="Q322">
        <f t="shared" si="28"/>
        <v>112</v>
      </c>
      <c r="R322">
        <f t="shared" si="28"/>
        <v>101</v>
      </c>
      <c r="S322">
        <f t="shared" si="28"/>
        <v>108</v>
      </c>
      <c r="T322">
        <f t="shared" si="28"/>
        <v>46</v>
      </c>
      <c r="U322">
        <f t="shared" si="28"/>
        <v>114</v>
      </c>
      <c r="V322">
        <f t="shared" si="28"/>
        <v>117</v>
      </c>
      <c r="W322" s="5">
        <f t="shared" si="25"/>
        <v>915</v>
      </c>
      <c r="X322" s="9" t="str">
        <f t="shared" si="26"/>
        <v>u915</v>
      </c>
    </row>
    <row r="323" spans="1:24" x14ac:dyDescent="0.2">
      <c r="A323" s="9" t="s">
        <v>425</v>
      </c>
      <c r="B323" s="9">
        <v>1</v>
      </c>
      <c r="C323" s="17">
        <v>6</v>
      </c>
      <c r="D323" s="20"/>
      <c r="E323" s="23">
        <v>45208</v>
      </c>
      <c r="F323" s="23" t="s">
        <v>364</v>
      </c>
      <c r="G323" s="25" t="s">
        <v>57</v>
      </c>
      <c r="H323" s="24">
        <v>0.25</v>
      </c>
      <c r="I323" s="25" t="s">
        <v>147</v>
      </c>
      <c r="J323" s="25" t="s">
        <v>7</v>
      </c>
      <c r="K323" s="25" t="s">
        <v>9</v>
      </c>
      <c r="L323" s="25">
        <f t="shared" si="29"/>
        <v>762</v>
      </c>
      <c r="M323" s="4" t="str">
        <f>IF(Table3[[#This Row],[Afrondingsdatum YB]]="N/A","-",Table3[[#This Row],[Afrondingsdatum YB]]-Table3[[#This Row],[StartDatum]])</f>
        <v>-</v>
      </c>
      <c r="N323" s="4"/>
      <c r="O323">
        <f t="shared" si="27"/>
        <v>111</v>
      </c>
      <c r="P323">
        <f t="shared" si="28"/>
        <v>108</v>
      </c>
      <c r="Q323">
        <f t="shared" si="28"/>
        <v>105</v>
      </c>
      <c r="R323">
        <f t="shared" si="28"/>
        <v>118</v>
      </c>
      <c r="S323">
        <f t="shared" si="28"/>
        <v>105</v>
      </c>
      <c r="T323">
        <f t="shared" si="28"/>
        <v>101</v>
      </c>
      <c r="U323">
        <f t="shared" si="28"/>
        <v>114</v>
      </c>
      <c r="V323">
        <f t="shared" si="28"/>
        <v>46</v>
      </c>
      <c r="W323" s="5">
        <f t="shared" ref="W323:W386" si="30">ROUND((O323*O$1+P323/P$1+Q323*Q$1+R323/R$1)+SUM(S323:V323),0)</f>
        <v>876</v>
      </c>
      <c r="X323" s="9" t="str">
        <f t="shared" ref="X323:X386" si="31">MID(G323,2,1)&amp;TEXT(W323,"###")</f>
        <v>l876</v>
      </c>
    </row>
    <row r="324" spans="1:24" x14ac:dyDescent="0.2">
      <c r="A324" s="9" t="s">
        <v>425</v>
      </c>
      <c r="B324" s="9">
        <v>1</v>
      </c>
      <c r="C324" s="17">
        <v>6</v>
      </c>
      <c r="D324" s="20"/>
      <c r="E324" s="18">
        <v>45208</v>
      </c>
      <c r="F324" s="18" t="s">
        <v>362</v>
      </c>
      <c r="G324" s="20" t="s">
        <v>58</v>
      </c>
      <c r="H324" s="19">
        <v>0.08</v>
      </c>
      <c r="I324" s="20" t="s">
        <v>159</v>
      </c>
      <c r="J324" s="20" t="s">
        <v>7</v>
      </c>
      <c r="K324" s="20" t="s">
        <v>9</v>
      </c>
      <c r="L324" s="20">
        <f t="shared" si="29"/>
        <v>681</v>
      </c>
      <c r="M324" s="4" t="str">
        <f>IF(Table3[[#This Row],[Afrondingsdatum YB]]="N/A","-",Table3[[#This Row],[Afrondingsdatum YB]]-Table3[[#This Row],[StartDatum]])</f>
        <v>-</v>
      </c>
      <c r="N324" s="4"/>
      <c r="O324">
        <f t="shared" si="27"/>
        <v>112</v>
      </c>
      <c r="P324">
        <f t="shared" si="28"/>
        <v>97</v>
      </c>
      <c r="Q324">
        <f t="shared" si="28"/>
        <v>117</v>
      </c>
      <c r="R324">
        <f t="shared" si="28"/>
        <v>108</v>
      </c>
      <c r="S324">
        <f t="shared" si="28"/>
        <v>46</v>
      </c>
      <c r="T324">
        <f t="shared" si="28"/>
        <v>100</v>
      </c>
      <c r="U324">
        <f t="shared" si="28"/>
        <v>101</v>
      </c>
      <c r="V324">
        <f t="shared" si="28"/>
        <v>46</v>
      </c>
      <c r="W324" s="5">
        <f t="shared" si="30"/>
        <v>832</v>
      </c>
      <c r="X324" s="9" t="str">
        <f t="shared" si="31"/>
        <v>a832</v>
      </c>
    </row>
    <row r="325" spans="1:24" x14ac:dyDescent="0.2">
      <c r="A325" s="9" t="s">
        <v>425</v>
      </c>
      <c r="B325" s="9">
        <v>1</v>
      </c>
      <c r="C325" s="17">
        <v>6</v>
      </c>
      <c r="D325" s="20"/>
      <c r="E325" s="23">
        <v>45208</v>
      </c>
      <c r="F325" s="23" t="s">
        <v>364</v>
      </c>
      <c r="G325" s="25" t="s">
        <v>59</v>
      </c>
      <c r="H325" s="24">
        <v>0</v>
      </c>
      <c r="I325" s="25" t="s">
        <v>8</v>
      </c>
      <c r="J325" s="25" t="s">
        <v>7</v>
      </c>
      <c r="K325" s="25" t="s">
        <v>9</v>
      </c>
      <c r="L325" s="25">
        <f t="shared" si="29"/>
        <v>695</v>
      </c>
      <c r="M325" s="4" t="str">
        <f>IF(Table3[[#This Row],[Afrondingsdatum YB]]="N/A","-",Table3[[#This Row],[Afrondingsdatum YB]]-Table3[[#This Row],[StartDatum]])</f>
        <v>-</v>
      </c>
      <c r="N325" s="4"/>
      <c r="O325">
        <f t="shared" si="27"/>
        <v>112</v>
      </c>
      <c r="P325">
        <f t="shared" si="28"/>
        <v>105</v>
      </c>
      <c r="Q325">
        <f t="shared" si="28"/>
        <v>101</v>
      </c>
      <c r="R325">
        <f t="shared" si="28"/>
        <v>116</v>
      </c>
      <c r="S325">
        <f t="shared" si="28"/>
        <v>101</v>
      </c>
      <c r="T325">
        <f t="shared" si="28"/>
        <v>114</v>
      </c>
      <c r="U325">
        <f t="shared" si="28"/>
        <v>46</v>
      </c>
      <c r="V325">
        <f t="shared" si="28"/>
        <v>109</v>
      </c>
      <c r="W325" s="5">
        <f t="shared" si="30"/>
        <v>867</v>
      </c>
      <c r="X325" s="9" t="str">
        <f t="shared" si="31"/>
        <v>i867</v>
      </c>
    </row>
    <row r="326" spans="1:24" x14ac:dyDescent="0.2">
      <c r="A326" s="9" t="s">
        <v>425</v>
      </c>
      <c r="B326" s="9">
        <v>1</v>
      </c>
      <c r="C326" s="17">
        <v>6</v>
      </c>
      <c r="D326" s="20"/>
      <c r="E326" s="18">
        <v>45208</v>
      </c>
      <c r="F326" s="18" t="s">
        <v>362</v>
      </c>
      <c r="G326" s="20" t="s">
        <v>60</v>
      </c>
      <c r="H326" s="19">
        <v>0.19</v>
      </c>
      <c r="I326" s="20" t="s">
        <v>160</v>
      </c>
      <c r="J326" s="20" t="s">
        <v>7</v>
      </c>
      <c r="K326" s="20" t="s">
        <v>9</v>
      </c>
      <c r="L326" s="20">
        <f t="shared" si="29"/>
        <v>703</v>
      </c>
      <c r="M326" s="4" t="str">
        <f>IF(Table3[[#This Row],[Afrondingsdatum YB]]="N/A","-",Table3[[#This Row],[Afrondingsdatum YB]]-Table3[[#This Row],[StartDatum]])</f>
        <v>-</v>
      </c>
      <c r="N326" s="4"/>
      <c r="O326">
        <f t="shared" si="27"/>
        <v>114</v>
      </c>
      <c r="P326">
        <f t="shared" si="28"/>
        <v>101</v>
      </c>
      <c r="Q326">
        <f t="shared" si="28"/>
        <v>110</v>
      </c>
      <c r="R326">
        <f t="shared" si="28"/>
        <v>115</v>
      </c>
      <c r="S326">
        <f t="shared" si="28"/>
        <v>46</v>
      </c>
      <c r="T326">
        <f t="shared" si="28"/>
        <v>103</v>
      </c>
      <c r="U326">
        <f t="shared" si="28"/>
        <v>114</v>
      </c>
      <c r="V326">
        <f t="shared" si="28"/>
        <v>111</v>
      </c>
      <c r="W326" s="5">
        <f t="shared" si="30"/>
        <v>897</v>
      </c>
      <c r="X326" s="9" t="str">
        <f t="shared" si="31"/>
        <v>e897</v>
      </c>
    </row>
    <row r="327" spans="1:24" x14ac:dyDescent="0.2">
      <c r="A327" s="9" t="s">
        <v>425</v>
      </c>
      <c r="B327" s="9">
        <v>1</v>
      </c>
      <c r="C327" s="17">
        <v>6</v>
      </c>
      <c r="D327" s="20"/>
      <c r="E327" s="23">
        <v>45208</v>
      </c>
      <c r="F327" s="23" t="s">
        <v>363</v>
      </c>
      <c r="G327" s="25" t="s">
        <v>61</v>
      </c>
      <c r="H327" s="24">
        <v>0</v>
      </c>
      <c r="I327" s="25" t="s">
        <v>8</v>
      </c>
      <c r="J327" s="25" t="s">
        <v>7</v>
      </c>
      <c r="K327" s="25" t="s">
        <v>9</v>
      </c>
      <c r="L327" s="25">
        <f t="shared" si="29"/>
        <v>697</v>
      </c>
      <c r="M327" s="4" t="str">
        <f>IF(Table3[[#This Row],[Afrondingsdatum YB]]="N/A","-",Table3[[#This Row],[Afrondingsdatum YB]]-Table3[[#This Row],[StartDatum]])</f>
        <v>-</v>
      </c>
      <c r="N327" s="4"/>
      <c r="O327">
        <f t="shared" si="27"/>
        <v>114</v>
      </c>
      <c r="P327">
        <f t="shared" si="28"/>
        <v>111</v>
      </c>
      <c r="Q327">
        <f t="shared" si="28"/>
        <v>119</v>
      </c>
      <c r="R327">
        <f t="shared" si="28"/>
        <v>97</v>
      </c>
      <c r="S327">
        <f t="shared" si="28"/>
        <v>110</v>
      </c>
      <c r="T327">
        <f t="shared" si="28"/>
        <v>46</v>
      </c>
      <c r="U327">
        <f t="shared" si="28"/>
        <v>100</v>
      </c>
      <c r="V327">
        <f t="shared" si="28"/>
        <v>101</v>
      </c>
      <c r="W327" s="5">
        <f t="shared" si="30"/>
        <v>908</v>
      </c>
      <c r="X327" s="9" t="str">
        <f t="shared" si="31"/>
        <v>o908</v>
      </c>
    </row>
    <row r="328" spans="1:24" x14ac:dyDescent="0.2">
      <c r="A328" s="9" t="s">
        <v>425</v>
      </c>
      <c r="B328" s="9">
        <v>1</v>
      </c>
      <c r="C328" s="17">
        <v>6</v>
      </c>
      <c r="D328" s="20"/>
      <c r="E328" s="18">
        <v>45208</v>
      </c>
      <c r="F328" s="18" t="s">
        <v>363</v>
      </c>
      <c r="G328" s="20" t="s">
        <v>84</v>
      </c>
      <c r="H328" s="19">
        <v>0.16</v>
      </c>
      <c r="I328" s="20" t="s">
        <v>161</v>
      </c>
      <c r="J328" s="20" t="s">
        <v>7</v>
      </c>
      <c r="K328" s="20" t="s">
        <v>9</v>
      </c>
      <c r="L328" s="20">
        <f t="shared" si="29"/>
        <v>683</v>
      </c>
      <c r="M328" s="4" t="str">
        <f>IF(Table3[[#This Row],[Afrondingsdatum YB]]="N/A","-",Table3[[#This Row],[Afrondingsdatum YB]]-Table3[[#This Row],[StartDatum]])</f>
        <v>-</v>
      </c>
      <c r="N328" s="4"/>
      <c r="O328">
        <f t="shared" si="27"/>
        <v>115</v>
      </c>
      <c r="P328">
        <f t="shared" si="28"/>
        <v>97</v>
      </c>
      <c r="Q328">
        <f t="shared" si="28"/>
        <v>110</v>
      </c>
      <c r="R328">
        <f t="shared" si="28"/>
        <v>100</v>
      </c>
      <c r="S328">
        <f t="shared" si="28"/>
        <v>101</v>
      </c>
      <c r="T328">
        <f t="shared" si="28"/>
        <v>114</v>
      </c>
      <c r="U328">
        <f t="shared" si="28"/>
        <v>46</v>
      </c>
      <c r="V328">
        <f t="shared" si="28"/>
        <v>98</v>
      </c>
      <c r="W328" s="5">
        <f t="shared" si="30"/>
        <v>878</v>
      </c>
      <c r="X328" s="9" t="str">
        <f t="shared" si="31"/>
        <v>a878</v>
      </c>
    </row>
    <row r="329" spans="1:24" x14ac:dyDescent="0.2">
      <c r="A329" s="9" t="s">
        <v>425</v>
      </c>
      <c r="B329" s="9">
        <v>1</v>
      </c>
      <c r="C329" s="17">
        <v>6</v>
      </c>
      <c r="D329" s="20"/>
      <c r="E329" s="23">
        <v>45208</v>
      </c>
      <c r="F329" s="23" t="s">
        <v>363</v>
      </c>
      <c r="G329" s="25" t="s">
        <v>62</v>
      </c>
      <c r="H329" s="24">
        <v>1</v>
      </c>
      <c r="I329" s="25" t="s">
        <v>162</v>
      </c>
      <c r="J329" s="32">
        <v>45202</v>
      </c>
      <c r="K329" s="24">
        <v>0.75</v>
      </c>
      <c r="L329" s="25">
        <f t="shared" si="29"/>
        <v>670</v>
      </c>
      <c r="M329" s="4">
        <f>IF(Table3[[#This Row],[Afrondingsdatum YB]]="N/A","-",Table3[[#This Row],[Afrondingsdatum YB]]-Table3[[#This Row],[StartDatum]])</f>
        <v>45202</v>
      </c>
      <c r="N329" s="4"/>
      <c r="O329">
        <f t="shared" si="27"/>
        <v>115</v>
      </c>
      <c r="P329">
        <f t="shared" si="28"/>
        <v>97</v>
      </c>
      <c r="Q329">
        <f t="shared" si="28"/>
        <v>114</v>
      </c>
      <c r="R329">
        <f t="shared" si="28"/>
        <v>97</v>
      </c>
      <c r="S329">
        <f t="shared" si="28"/>
        <v>46</v>
      </c>
      <c r="T329">
        <f t="shared" si="28"/>
        <v>100</v>
      </c>
      <c r="U329">
        <f t="shared" si="28"/>
        <v>101</v>
      </c>
      <c r="V329">
        <f t="shared" si="28"/>
        <v>46</v>
      </c>
      <c r="W329" s="5">
        <f t="shared" si="30"/>
        <v>823</v>
      </c>
      <c r="X329" s="9" t="str">
        <f t="shared" si="31"/>
        <v>a823</v>
      </c>
    </row>
    <row r="330" spans="1:24" x14ac:dyDescent="0.2">
      <c r="A330" s="9" t="s">
        <v>425</v>
      </c>
      <c r="B330" s="9">
        <v>1</v>
      </c>
      <c r="C330" s="17">
        <v>6</v>
      </c>
      <c r="D330" s="20"/>
      <c r="E330" s="18">
        <v>45208</v>
      </c>
      <c r="F330" s="18" t="s">
        <v>362</v>
      </c>
      <c r="G330" s="20" t="s">
        <v>131</v>
      </c>
      <c r="H330" s="19">
        <v>0.04</v>
      </c>
      <c r="I330" s="20" t="s">
        <v>130</v>
      </c>
      <c r="J330" s="20" t="s">
        <v>7</v>
      </c>
      <c r="K330" s="20" t="s">
        <v>9</v>
      </c>
      <c r="L330" s="20">
        <f t="shared" si="29"/>
        <v>675</v>
      </c>
      <c r="M330" s="4" t="str">
        <f>IF(Table3[[#This Row],[Afrondingsdatum YB]]="N/A","-",Table3[[#This Row],[Afrondingsdatum YB]]-Table3[[#This Row],[StartDatum]])</f>
        <v>-</v>
      </c>
      <c r="N330" s="4"/>
      <c r="O330">
        <f t="shared" si="27"/>
        <v>115</v>
      </c>
      <c r="P330">
        <f t="shared" si="28"/>
        <v>97</v>
      </c>
      <c r="Q330">
        <f t="shared" si="28"/>
        <v>114</v>
      </c>
      <c r="R330">
        <f t="shared" si="28"/>
        <v>97</v>
      </c>
      <c r="S330">
        <f t="shared" si="28"/>
        <v>104</v>
      </c>
      <c r="T330">
        <f t="shared" si="28"/>
        <v>46</v>
      </c>
      <c r="U330">
        <f t="shared" si="28"/>
        <v>102</v>
      </c>
      <c r="V330">
        <f t="shared" si="28"/>
        <v>97</v>
      </c>
      <c r="W330" s="5">
        <f t="shared" si="30"/>
        <v>879</v>
      </c>
      <c r="X330" s="9" t="str">
        <f t="shared" si="31"/>
        <v>a879</v>
      </c>
    </row>
    <row r="331" spans="1:24" x14ac:dyDescent="0.2">
      <c r="A331" s="9" t="s">
        <v>425</v>
      </c>
      <c r="B331" s="9">
        <v>1</v>
      </c>
      <c r="C331" s="17">
        <v>6</v>
      </c>
      <c r="D331" s="20"/>
      <c r="E331" s="23">
        <v>45208</v>
      </c>
      <c r="F331" s="23" t="s">
        <v>364</v>
      </c>
      <c r="G331" s="25" t="s">
        <v>108</v>
      </c>
      <c r="H331" s="24">
        <v>0</v>
      </c>
      <c r="I331" s="25" t="s">
        <v>8</v>
      </c>
      <c r="J331" s="25" t="s">
        <v>7</v>
      </c>
      <c r="K331" s="25" t="s">
        <v>9</v>
      </c>
      <c r="L331" s="25">
        <f t="shared" si="29"/>
        <v>760</v>
      </c>
      <c r="M331" s="4" t="str">
        <f>IF(Table3[[#This Row],[Afrondingsdatum YB]]="N/A","-",Table3[[#This Row],[Afrondingsdatum YB]]-Table3[[#This Row],[StartDatum]])</f>
        <v>-</v>
      </c>
      <c r="N331" s="4"/>
      <c r="O331">
        <f t="shared" si="27"/>
        <v>115</v>
      </c>
      <c r="P331">
        <f t="shared" si="28"/>
        <v>97</v>
      </c>
      <c r="Q331">
        <f t="shared" si="28"/>
        <v>118</v>
      </c>
      <c r="R331">
        <f t="shared" si="28"/>
        <v>101</v>
      </c>
      <c r="S331">
        <f t="shared" si="28"/>
        <v>114</v>
      </c>
      <c r="T331">
        <f t="shared" si="28"/>
        <v>105</v>
      </c>
      <c r="U331">
        <f t="shared" si="28"/>
        <v>110</v>
      </c>
      <c r="V331">
        <f t="shared" si="28"/>
        <v>105</v>
      </c>
      <c r="W331" s="5">
        <f t="shared" si="30"/>
        <v>977</v>
      </c>
      <c r="X331" s="9" t="str">
        <f t="shared" si="31"/>
        <v>a977</v>
      </c>
    </row>
    <row r="332" spans="1:24" x14ac:dyDescent="0.2">
      <c r="A332" s="9" t="s">
        <v>425</v>
      </c>
      <c r="B332" s="9">
        <v>1</v>
      </c>
      <c r="C332" s="17">
        <v>6</v>
      </c>
      <c r="D332" s="20"/>
      <c r="E332" s="18">
        <v>45208</v>
      </c>
      <c r="F332" s="18" t="s">
        <v>364</v>
      </c>
      <c r="G332" s="20" t="s">
        <v>109</v>
      </c>
      <c r="H332" s="19">
        <v>0.02</v>
      </c>
      <c r="I332" s="20" t="s">
        <v>92</v>
      </c>
      <c r="J332" s="20" t="s">
        <v>7</v>
      </c>
      <c r="K332" s="20" t="s">
        <v>9</v>
      </c>
      <c r="L332" s="20">
        <f t="shared" si="29"/>
        <v>696</v>
      </c>
      <c r="M332" s="4" t="str">
        <f>IF(Table3[[#This Row],[Afrondingsdatum YB]]="N/A","-",Table3[[#This Row],[Afrondingsdatum YB]]-Table3[[#This Row],[StartDatum]])</f>
        <v>-</v>
      </c>
      <c r="N332" s="4"/>
      <c r="O332">
        <f t="shared" si="27"/>
        <v>115</v>
      </c>
      <c r="P332">
        <f t="shared" si="28"/>
        <v>101</v>
      </c>
      <c r="Q332">
        <f t="shared" si="28"/>
        <v>109</v>
      </c>
      <c r="R332">
        <f t="shared" si="28"/>
        <v>46</v>
      </c>
      <c r="S332">
        <f t="shared" si="28"/>
        <v>118</v>
      </c>
      <c r="T332">
        <f t="shared" ref="P332:V368" si="32">CODE(MID($G332,T$1,1))</f>
        <v>97</v>
      </c>
      <c r="U332">
        <f t="shared" si="32"/>
        <v>110</v>
      </c>
      <c r="V332">
        <f t="shared" si="32"/>
        <v>46</v>
      </c>
      <c r="W332" s="5">
        <f t="shared" si="30"/>
        <v>875</v>
      </c>
      <c r="X332" s="9" t="str">
        <f t="shared" si="31"/>
        <v>e875</v>
      </c>
    </row>
    <row r="333" spans="1:24" x14ac:dyDescent="0.2">
      <c r="A333" s="9" t="s">
        <v>425</v>
      </c>
      <c r="B333" s="9">
        <v>1</v>
      </c>
      <c r="C333" s="17">
        <v>6</v>
      </c>
      <c r="D333" s="20"/>
      <c r="E333" s="23">
        <v>45208</v>
      </c>
      <c r="F333" s="23" t="s">
        <v>362</v>
      </c>
      <c r="G333" s="25" t="s">
        <v>63</v>
      </c>
      <c r="H333" s="24">
        <v>0</v>
      </c>
      <c r="I333" s="25" t="s">
        <v>76</v>
      </c>
      <c r="J333" s="25" t="s">
        <v>7</v>
      </c>
      <c r="K333" s="25" t="s">
        <v>9</v>
      </c>
      <c r="L333" s="25">
        <f t="shared" si="29"/>
        <v>673</v>
      </c>
      <c r="M333" s="4" t="str">
        <f>IF(Table3[[#This Row],[Afrondingsdatum YB]]="N/A","-",Table3[[#This Row],[Afrondingsdatum YB]]-Table3[[#This Row],[StartDatum]])</f>
        <v>-</v>
      </c>
      <c r="N333" s="4"/>
      <c r="O333">
        <f t="shared" si="27"/>
        <v>83</v>
      </c>
      <c r="P333">
        <f t="shared" si="32"/>
        <v>121</v>
      </c>
      <c r="Q333">
        <f t="shared" si="32"/>
        <v>98</v>
      </c>
      <c r="R333">
        <f t="shared" si="32"/>
        <v>114</v>
      </c>
      <c r="S333">
        <f t="shared" si="32"/>
        <v>101</v>
      </c>
      <c r="T333">
        <f t="shared" si="32"/>
        <v>110</v>
      </c>
      <c r="U333">
        <f t="shared" si="32"/>
        <v>46</v>
      </c>
      <c r="V333">
        <f t="shared" si="32"/>
        <v>104</v>
      </c>
      <c r="W333" s="5">
        <f t="shared" si="30"/>
        <v>827</v>
      </c>
      <c r="X333" s="9" t="str">
        <f t="shared" si="31"/>
        <v>y827</v>
      </c>
    </row>
    <row r="334" spans="1:24" x14ac:dyDescent="0.2">
      <c r="A334" s="9" t="s">
        <v>425</v>
      </c>
      <c r="B334" s="9">
        <v>1</v>
      </c>
      <c r="C334" s="17">
        <v>6</v>
      </c>
      <c r="D334" s="20"/>
      <c r="E334" s="18">
        <v>45208</v>
      </c>
      <c r="F334" s="18" t="s">
        <v>363</v>
      </c>
      <c r="G334" s="20" t="s">
        <v>64</v>
      </c>
      <c r="H334" s="19">
        <v>0</v>
      </c>
      <c r="I334" s="20" t="s">
        <v>8</v>
      </c>
      <c r="J334" s="20" t="s">
        <v>7</v>
      </c>
      <c r="K334" s="20" t="s">
        <v>9</v>
      </c>
      <c r="L334" s="20">
        <f t="shared" si="29"/>
        <v>709</v>
      </c>
      <c r="M334" s="4" t="str">
        <f>IF(Table3[[#This Row],[Afrondingsdatum YB]]="N/A","-",Table3[[#This Row],[Afrondingsdatum YB]]-Table3[[#This Row],[StartDatum]])</f>
        <v>-</v>
      </c>
      <c r="N334" s="4"/>
      <c r="O334">
        <f t="shared" si="27"/>
        <v>116</v>
      </c>
      <c r="P334">
        <f t="shared" si="32"/>
        <v>101</v>
      </c>
      <c r="Q334">
        <f t="shared" si="32"/>
        <v>117</v>
      </c>
      <c r="R334">
        <f t="shared" si="32"/>
        <v>110</v>
      </c>
      <c r="S334">
        <f t="shared" si="32"/>
        <v>46</v>
      </c>
      <c r="T334">
        <f t="shared" si="32"/>
        <v>114</v>
      </c>
      <c r="U334">
        <f t="shared" si="32"/>
        <v>105</v>
      </c>
      <c r="V334">
        <f t="shared" si="32"/>
        <v>110</v>
      </c>
      <c r="W334" s="5">
        <f t="shared" si="30"/>
        <v>920</v>
      </c>
      <c r="X334" s="9" t="str">
        <f t="shared" si="31"/>
        <v>e920</v>
      </c>
    </row>
    <row r="335" spans="1:24" x14ac:dyDescent="0.2">
      <c r="A335" s="9" t="s">
        <v>425</v>
      </c>
      <c r="B335" s="9">
        <v>1</v>
      </c>
      <c r="C335" s="17">
        <v>6</v>
      </c>
      <c r="D335" s="20"/>
      <c r="E335" s="23">
        <v>45208</v>
      </c>
      <c r="F335" s="23" t="s">
        <v>362</v>
      </c>
      <c r="G335" s="25" t="s">
        <v>132</v>
      </c>
      <c r="H335" s="24">
        <v>0</v>
      </c>
      <c r="I335" s="25" t="s">
        <v>8</v>
      </c>
      <c r="J335" s="25" t="s">
        <v>7</v>
      </c>
      <c r="K335" s="25" t="s">
        <v>9</v>
      </c>
      <c r="L335" s="25">
        <f t="shared" si="29"/>
        <v>697</v>
      </c>
      <c r="M335" s="4" t="str">
        <f>IF(Table3[[#This Row],[Afrondingsdatum YB]]="N/A","-",Table3[[#This Row],[Afrondingsdatum YB]]-Table3[[#This Row],[StartDatum]])</f>
        <v>-</v>
      </c>
      <c r="N335" s="4"/>
      <c r="O335">
        <f t="shared" si="27"/>
        <v>116</v>
      </c>
      <c r="P335">
        <f t="shared" si="32"/>
        <v>104</v>
      </c>
      <c r="Q335">
        <f t="shared" si="32"/>
        <v>105</v>
      </c>
      <c r="R335">
        <f t="shared" si="32"/>
        <v>114</v>
      </c>
      <c r="S335">
        <f t="shared" si="32"/>
        <v>115</v>
      </c>
      <c r="T335">
        <f t="shared" si="32"/>
        <v>97</v>
      </c>
      <c r="U335">
        <f t="shared" si="32"/>
        <v>46</v>
      </c>
      <c r="V335">
        <f t="shared" si="32"/>
        <v>108</v>
      </c>
      <c r="W335" s="5">
        <f t="shared" si="30"/>
        <v>878</v>
      </c>
      <c r="X335" s="9" t="str">
        <f t="shared" si="31"/>
        <v>h878</v>
      </c>
    </row>
    <row r="336" spans="1:24" x14ac:dyDescent="0.2">
      <c r="A336" s="9" t="s">
        <v>425</v>
      </c>
      <c r="B336" s="9">
        <v>1</v>
      </c>
      <c r="C336" s="17">
        <v>6</v>
      </c>
      <c r="D336" s="20"/>
      <c r="E336" s="18">
        <v>45208</v>
      </c>
      <c r="F336" s="18" t="s">
        <v>364</v>
      </c>
      <c r="G336" s="20" t="s">
        <v>133</v>
      </c>
      <c r="H336" s="19">
        <v>0</v>
      </c>
      <c r="I336" s="20" t="s">
        <v>8</v>
      </c>
      <c r="J336" s="20" t="s">
        <v>7</v>
      </c>
      <c r="K336" s="20" t="s">
        <v>9</v>
      </c>
      <c r="L336" s="20">
        <f t="shared" si="29"/>
        <v>713</v>
      </c>
      <c r="M336" s="4" t="str">
        <f>IF(Table3[[#This Row],[Afrondingsdatum YB]]="N/A","-",Table3[[#This Row],[Afrondingsdatum YB]]-Table3[[#This Row],[StartDatum]])</f>
        <v>-</v>
      </c>
      <c r="N336" s="4"/>
      <c r="O336">
        <f t="shared" si="27"/>
        <v>116</v>
      </c>
      <c r="P336">
        <f t="shared" si="32"/>
        <v>121</v>
      </c>
      <c r="Q336">
        <f t="shared" si="32"/>
        <v>108</v>
      </c>
      <c r="R336">
        <f t="shared" si="32"/>
        <v>101</v>
      </c>
      <c r="S336">
        <f t="shared" si="32"/>
        <v>114</v>
      </c>
      <c r="T336">
        <f t="shared" si="32"/>
        <v>46</v>
      </c>
      <c r="U336">
        <f t="shared" si="32"/>
        <v>107</v>
      </c>
      <c r="V336">
        <f t="shared" si="32"/>
        <v>111</v>
      </c>
      <c r="W336" s="5">
        <f t="shared" si="30"/>
        <v>904</v>
      </c>
      <c r="X336" s="9" t="str">
        <f t="shared" si="31"/>
        <v>y904</v>
      </c>
    </row>
    <row r="337" spans="1:24" x14ac:dyDescent="0.2">
      <c r="A337" s="9" t="s">
        <v>425</v>
      </c>
      <c r="B337" s="9">
        <v>1</v>
      </c>
      <c r="C337" s="17">
        <v>6</v>
      </c>
      <c r="D337" s="20"/>
      <c r="E337" s="23">
        <v>45208</v>
      </c>
      <c r="F337" s="23" t="s">
        <v>364</v>
      </c>
      <c r="G337" s="25" t="s">
        <v>65</v>
      </c>
      <c r="H337" s="24">
        <v>0.28000000000000003</v>
      </c>
      <c r="I337" s="25" t="s">
        <v>138</v>
      </c>
      <c r="J337" s="25" t="s">
        <v>7</v>
      </c>
      <c r="K337" s="25" t="s">
        <v>9</v>
      </c>
      <c r="L337" s="25">
        <f t="shared" si="29"/>
        <v>711</v>
      </c>
      <c r="M337" s="4" t="str">
        <f>IF(Table3[[#This Row],[Afrondingsdatum YB]]="N/A","-",Table3[[#This Row],[Afrondingsdatum YB]]-Table3[[#This Row],[StartDatum]])</f>
        <v>-</v>
      </c>
      <c r="N337" s="4"/>
      <c r="O337">
        <f t="shared" si="27"/>
        <v>119</v>
      </c>
      <c r="P337">
        <f t="shared" si="32"/>
        <v>101</v>
      </c>
      <c r="Q337">
        <f t="shared" si="32"/>
        <v>115</v>
      </c>
      <c r="R337">
        <f t="shared" si="32"/>
        <v>108</v>
      </c>
      <c r="S337">
        <f t="shared" si="32"/>
        <v>101</v>
      </c>
      <c r="T337">
        <f t="shared" si="32"/>
        <v>121</v>
      </c>
      <c r="U337">
        <f t="shared" si="32"/>
        <v>46</v>
      </c>
      <c r="V337">
        <f t="shared" si="32"/>
        <v>99</v>
      </c>
      <c r="W337" s="5">
        <f t="shared" si="30"/>
        <v>909</v>
      </c>
      <c r="X337" s="9" t="str">
        <f t="shared" si="31"/>
        <v>e909</v>
      </c>
    </row>
    <row r="338" spans="1:24" x14ac:dyDescent="0.2">
      <c r="A338" s="9" t="s">
        <v>425</v>
      </c>
      <c r="B338" s="9">
        <v>1</v>
      </c>
      <c r="C338" s="17">
        <v>6</v>
      </c>
      <c r="D338" s="20"/>
      <c r="E338" s="18">
        <v>45208</v>
      </c>
      <c r="F338" s="18" t="s">
        <v>364</v>
      </c>
      <c r="G338" s="20" t="s">
        <v>66</v>
      </c>
      <c r="H338" s="19">
        <v>0.12</v>
      </c>
      <c r="I338" s="20" t="s">
        <v>163</v>
      </c>
      <c r="J338" s="20" t="s">
        <v>7</v>
      </c>
      <c r="K338" s="20" t="s">
        <v>9</v>
      </c>
      <c r="L338" s="20">
        <f t="shared" si="29"/>
        <v>697</v>
      </c>
      <c r="M338" s="4" t="str">
        <f>IF(Table3[[#This Row],[Afrondingsdatum YB]]="N/A","-",Table3[[#This Row],[Afrondingsdatum YB]]-Table3[[#This Row],[StartDatum]])</f>
        <v>-</v>
      </c>
      <c r="N338" s="4"/>
      <c r="O338">
        <f t="shared" si="27"/>
        <v>121</v>
      </c>
      <c r="P338">
        <f t="shared" si="32"/>
        <v>97</v>
      </c>
      <c r="Q338">
        <f t="shared" si="32"/>
        <v>115</v>
      </c>
      <c r="R338">
        <f t="shared" si="32"/>
        <v>105</v>
      </c>
      <c r="S338">
        <f t="shared" si="32"/>
        <v>110</v>
      </c>
      <c r="T338">
        <f t="shared" si="32"/>
        <v>46</v>
      </c>
      <c r="U338">
        <f t="shared" si="32"/>
        <v>103</v>
      </c>
      <c r="V338">
        <f t="shared" si="32"/>
        <v>111</v>
      </c>
      <c r="W338" s="5">
        <f t="shared" si="30"/>
        <v>911</v>
      </c>
      <c r="X338" s="9" t="str">
        <f t="shared" si="31"/>
        <v>a911</v>
      </c>
    </row>
    <row r="339" spans="1:24" x14ac:dyDescent="0.2">
      <c r="A339" s="9" t="s">
        <v>425</v>
      </c>
      <c r="B339" s="9">
        <v>1</v>
      </c>
      <c r="C339" s="17">
        <v>6</v>
      </c>
      <c r="D339" s="20"/>
      <c r="E339" s="23">
        <v>45208</v>
      </c>
      <c r="F339" s="23" t="s">
        <v>364</v>
      </c>
      <c r="G339" s="25" t="s">
        <v>67</v>
      </c>
      <c r="H339" s="24">
        <v>0.94</v>
      </c>
      <c r="I339" s="25" t="s">
        <v>159</v>
      </c>
      <c r="J339" s="25" t="s">
        <v>7</v>
      </c>
      <c r="K339" s="25" t="s">
        <v>9</v>
      </c>
      <c r="L339" s="25">
        <f t="shared" si="29"/>
        <v>764</v>
      </c>
      <c r="M339" s="4" t="str">
        <f>IF(Table3[[#This Row],[Afrondingsdatum YB]]="N/A","-",Table3[[#This Row],[Afrondingsdatum YB]]-Table3[[#This Row],[StartDatum]])</f>
        <v>-</v>
      </c>
      <c r="N339" s="4"/>
      <c r="O339">
        <f t="shared" si="27"/>
        <v>121</v>
      </c>
      <c r="P339">
        <f t="shared" si="32"/>
        <v>97</v>
      </c>
      <c r="Q339">
        <f t="shared" si="32"/>
        <v>115</v>
      </c>
      <c r="R339">
        <f t="shared" si="32"/>
        <v>115</v>
      </c>
      <c r="S339">
        <f t="shared" si="32"/>
        <v>105</v>
      </c>
      <c r="T339">
        <f t="shared" si="32"/>
        <v>110</v>
      </c>
      <c r="U339">
        <f t="shared" si="32"/>
        <v>101</v>
      </c>
      <c r="V339">
        <f t="shared" si="32"/>
        <v>46</v>
      </c>
      <c r="W339" s="5">
        <f t="shared" si="30"/>
        <v>905</v>
      </c>
      <c r="X339" s="9" t="str">
        <f t="shared" si="31"/>
        <v>a905</v>
      </c>
    </row>
    <row r="340" spans="1:24" x14ac:dyDescent="0.2">
      <c r="A340" s="9" t="s">
        <v>425</v>
      </c>
      <c r="B340" s="9">
        <v>1</v>
      </c>
      <c r="C340" s="17">
        <v>6</v>
      </c>
      <c r="D340" s="20"/>
      <c r="E340" s="18">
        <v>45208</v>
      </c>
      <c r="F340" s="18" t="s">
        <v>363</v>
      </c>
      <c r="G340" s="20" t="s">
        <v>68</v>
      </c>
      <c r="H340" s="19">
        <v>0.19</v>
      </c>
      <c r="I340" s="20" t="s">
        <v>164</v>
      </c>
      <c r="J340" s="20" t="s">
        <v>7</v>
      </c>
      <c r="K340" s="20" t="s">
        <v>9</v>
      </c>
      <c r="L340" s="20">
        <f t="shared" si="29"/>
        <v>721</v>
      </c>
      <c r="M340" s="4" t="str">
        <f>IF(Table3[[#This Row],[Afrondingsdatum YB]]="N/A","-",Table3[[#This Row],[Afrondingsdatum YB]]-Table3[[#This Row],[StartDatum]])</f>
        <v>-</v>
      </c>
      <c r="N340" s="4"/>
      <c r="O340">
        <f t="shared" si="27"/>
        <v>121</v>
      </c>
      <c r="P340">
        <f t="shared" si="32"/>
        <v>111</v>
      </c>
      <c r="Q340">
        <f t="shared" si="32"/>
        <v>117</v>
      </c>
      <c r="R340">
        <f t="shared" si="32"/>
        <v>114</v>
      </c>
      <c r="S340">
        <f t="shared" si="32"/>
        <v>105</v>
      </c>
      <c r="T340">
        <f t="shared" si="32"/>
        <v>46</v>
      </c>
      <c r="U340">
        <f t="shared" si="32"/>
        <v>107</v>
      </c>
      <c r="V340">
        <f t="shared" si="32"/>
        <v>101</v>
      </c>
      <c r="W340" s="5">
        <f t="shared" si="30"/>
        <v>915</v>
      </c>
      <c r="X340" s="9" t="str">
        <f t="shared" si="31"/>
        <v>o915</v>
      </c>
    </row>
    <row r="341" spans="1:24" x14ac:dyDescent="0.2">
      <c r="A341" s="9" t="s">
        <v>425</v>
      </c>
      <c r="B341" s="9">
        <v>1</v>
      </c>
      <c r="C341" s="22">
        <v>7</v>
      </c>
      <c r="D341" s="25"/>
      <c r="E341" s="23">
        <v>45215</v>
      </c>
      <c r="F341" s="23" t="s">
        <v>363</v>
      </c>
      <c r="G341" s="25" t="s">
        <v>10</v>
      </c>
      <c r="H341" s="24">
        <v>1</v>
      </c>
      <c r="I341" s="25" t="s">
        <v>110</v>
      </c>
      <c r="J341" s="32">
        <v>45197</v>
      </c>
      <c r="K341" s="24">
        <v>0.98</v>
      </c>
      <c r="L341" s="25">
        <f t="shared" si="29"/>
        <v>662</v>
      </c>
      <c r="M341" s="4">
        <f>IF(Table3[[#This Row],[Afrondingsdatum YB]]="N/A","-",Table3[[#This Row],[Afrondingsdatum YB]]-Table3[[#This Row],[StartDatum]])</f>
        <v>45197</v>
      </c>
      <c r="N341" s="4"/>
      <c r="O341">
        <f t="shared" si="27"/>
        <v>97</v>
      </c>
      <c r="P341">
        <f t="shared" si="32"/>
        <v>100</v>
      </c>
      <c r="Q341">
        <f t="shared" si="32"/>
        <v>97</v>
      </c>
      <c r="R341">
        <f t="shared" si="32"/>
        <v>109</v>
      </c>
      <c r="S341">
        <f t="shared" si="32"/>
        <v>46</v>
      </c>
      <c r="T341">
        <f t="shared" si="32"/>
        <v>97</v>
      </c>
      <c r="U341">
        <f t="shared" si="32"/>
        <v>116</v>
      </c>
      <c r="V341">
        <f t="shared" si="32"/>
        <v>116</v>
      </c>
      <c r="W341" s="5">
        <f t="shared" si="30"/>
        <v>840</v>
      </c>
      <c r="X341" s="9" t="str">
        <f t="shared" si="31"/>
        <v>d840</v>
      </c>
    </row>
    <row r="342" spans="1:24" x14ac:dyDescent="0.2">
      <c r="A342" s="9" t="s">
        <v>425</v>
      </c>
      <c r="B342" s="9">
        <v>1</v>
      </c>
      <c r="C342" s="22">
        <v>7</v>
      </c>
      <c r="D342" s="25"/>
      <c r="E342" s="18">
        <v>45215</v>
      </c>
      <c r="F342" s="18" t="s">
        <v>362</v>
      </c>
      <c r="G342" s="20" t="s">
        <v>11</v>
      </c>
      <c r="H342" s="19">
        <v>0.03</v>
      </c>
      <c r="I342" s="20" t="s">
        <v>111</v>
      </c>
      <c r="J342" s="20" t="s">
        <v>7</v>
      </c>
      <c r="K342" s="20" t="s">
        <v>9</v>
      </c>
      <c r="L342" s="20">
        <f t="shared" si="29"/>
        <v>641</v>
      </c>
      <c r="M342" s="4" t="str">
        <f>IF(Table3[[#This Row],[Afrondingsdatum YB]]="N/A","-",Table3[[#This Row],[Afrondingsdatum YB]]-Table3[[#This Row],[StartDatum]])</f>
        <v>-</v>
      </c>
      <c r="N342" s="4"/>
      <c r="O342">
        <f t="shared" si="27"/>
        <v>65</v>
      </c>
      <c r="P342">
        <f t="shared" si="32"/>
        <v>100</v>
      </c>
      <c r="Q342">
        <f t="shared" si="32"/>
        <v>105</v>
      </c>
      <c r="R342">
        <f t="shared" si="32"/>
        <v>108</v>
      </c>
      <c r="S342">
        <f t="shared" si="32"/>
        <v>46</v>
      </c>
      <c r="T342">
        <f t="shared" si="32"/>
        <v>106</v>
      </c>
      <c r="U342">
        <f t="shared" si="32"/>
        <v>111</v>
      </c>
      <c r="V342">
        <f t="shared" si="32"/>
        <v>117</v>
      </c>
      <c r="W342" s="5">
        <f t="shared" si="30"/>
        <v>837</v>
      </c>
      <c r="X342" s="9" t="str">
        <f t="shared" si="31"/>
        <v>d837</v>
      </c>
    </row>
    <row r="343" spans="1:24" x14ac:dyDescent="0.2">
      <c r="A343" s="9" t="s">
        <v>425</v>
      </c>
      <c r="B343" s="9">
        <v>1</v>
      </c>
      <c r="C343" s="22">
        <v>7</v>
      </c>
      <c r="D343" s="25"/>
      <c r="E343" s="23">
        <v>45215</v>
      </c>
      <c r="F343" s="23" t="s">
        <v>364</v>
      </c>
      <c r="G343" s="25" t="s">
        <v>12</v>
      </c>
      <c r="H343" s="24">
        <v>0.99</v>
      </c>
      <c r="I343" s="25" t="s">
        <v>165</v>
      </c>
      <c r="J343" s="25" t="s">
        <v>7</v>
      </c>
      <c r="K343" s="25" t="s">
        <v>9</v>
      </c>
      <c r="L343" s="25">
        <f t="shared" si="29"/>
        <v>677</v>
      </c>
      <c r="M343" s="4" t="str">
        <f>IF(Table3[[#This Row],[Afrondingsdatum YB]]="N/A","-",Table3[[#This Row],[Afrondingsdatum YB]]-Table3[[#This Row],[StartDatum]])</f>
        <v>-</v>
      </c>
      <c r="N343" s="4"/>
      <c r="O343">
        <f t="shared" si="27"/>
        <v>97</v>
      </c>
      <c r="P343">
        <f t="shared" si="32"/>
        <v>103</v>
      </c>
      <c r="Q343">
        <f t="shared" si="32"/>
        <v>104</v>
      </c>
      <c r="R343">
        <f t="shared" si="32"/>
        <v>105</v>
      </c>
      <c r="S343">
        <f t="shared" si="32"/>
        <v>108</v>
      </c>
      <c r="T343">
        <f t="shared" si="32"/>
        <v>46</v>
      </c>
      <c r="U343">
        <f t="shared" si="32"/>
        <v>114</v>
      </c>
      <c r="V343">
        <f t="shared" si="32"/>
        <v>101</v>
      </c>
      <c r="W343" s="5">
        <f t="shared" si="30"/>
        <v>856</v>
      </c>
      <c r="X343" s="9" t="str">
        <f t="shared" si="31"/>
        <v>g856</v>
      </c>
    </row>
    <row r="344" spans="1:24" x14ac:dyDescent="0.2">
      <c r="A344" s="9" t="s">
        <v>425</v>
      </c>
      <c r="B344" s="9">
        <v>1</v>
      </c>
      <c r="C344" s="22">
        <v>7</v>
      </c>
      <c r="D344" s="25"/>
      <c r="E344" s="18">
        <v>45215</v>
      </c>
      <c r="F344" s="18" t="s">
        <v>362</v>
      </c>
      <c r="G344" s="20" t="s">
        <v>113</v>
      </c>
      <c r="H344" s="19">
        <v>0.04</v>
      </c>
      <c r="I344" s="20" t="s">
        <v>135</v>
      </c>
      <c r="J344" s="20" t="s">
        <v>7</v>
      </c>
      <c r="K344" s="20" t="s">
        <v>9</v>
      </c>
      <c r="L344" s="20">
        <f t="shared" si="29"/>
        <v>670</v>
      </c>
      <c r="M344" s="4" t="str">
        <f>IF(Table3[[#This Row],[Afrondingsdatum YB]]="N/A","-",Table3[[#This Row],[Afrondingsdatum YB]]-Table3[[#This Row],[StartDatum]])</f>
        <v>-</v>
      </c>
      <c r="N344" s="4"/>
      <c r="O344">
        <f t="shared" si="27"/>
        <v>97</v>
      </c>
      <c r="P344">
        <f t="shared" si="32"/>
        <v>109</v>
      </c>
      <c r="Q344">
        <f t="shared" si="32"/>
        <v>105</v>
      </c>
      <c r="R344">
        <f t="shared" si="32"/>
        <v>110</v>
      </c>
      <c r="S344">
        <f t="shared" si="32"/>
        <v>46</v>
      </c>
      <c r="T344">
        <f t="shared" si="32"/>
        <v>99</v>
      </c>
      <c r="U344">
        <f t="shared" si="32"/>
        <v>104</v>
      </c>
      <c r="V344">
        <f t="shared" si="32"/>
        <v>101</v>
      </c>
      <c r="W344" s="5">
        <f t="shared" si="30"/>
        <v>844</v>
      </c>
      <c r="X344" s="9" t="str">
        <f t="shared" si="31"/>
        <v>m844</v>
      </c>
    </row>
    <row r="345" spans="1:24" x14ac:dyDescent="0.2">
      <c r="A345" s="9" t="s">
        <v>425</v>
      </c>
      <c r="B345" s="9">
        <v>1</v>
      </c>
      <c r="C345" s="22">
        <v>7</v>
      </c>
      <c r="D345" s="25"/>
      <c r="E345" s="23">
        <v>45215</v>
      </c>
      <c r="F345" s="23" t="s">
        <v>364</v>
      </c>
      <c r="G345" s="25" t="s">
        <v>13</v>
      </c>
      <c r="H345" s="24">
        <v>0.56000000000000005</v>
      </c>
      <c r="I345" s="25" t="s">
        <v>105</v>
      </c>
      <c r="J345" s="25" t="s">
        <v>7</v>
      </c>
      <c r="K345" s="25" t="s">
        <v>9</v>
      </c>
      <c r="L345" s="25">
        <f t="shared" si="29"/>
        <v>669</v>
      </c>
      <c r="M345" s="4" t="str">
        <f>IF(Table3[[#This Row],[Afrondingsdatum YB]]="N/A","-",Table3[[#This Row],[Afrondingsdatum YB]]-Table3[[#This Row],[StartDatum]])</f>
        <v>-</v>
      </c>
      <c r="N345" s="4"/>
      <c r="O345">
        <f t="shared" si="27"/>
        <v>97</v>
      </c>
      <c r="P345">
        <f t="shared" si="32"/>
        <v>109</v>
      </c>
      <c r="Q345">
        <f t="shared" si="32"/>
        <v>105</v>
      </c>
      <c r="R345">
        <f t="shared" si="32"/>
        <v>110</v>
      </c>
      <c r="S345">
        <f t="shared" si="32"/>
        <v>101</v>
      </c>
      <c r="T345">
        <f t="shared" si="32"/>
        <v>46</v>
      </c>
      <c r="U345">
        <f t="shared" si="32"/>
        <v>101</v>
      </c>
      <c r="V345">
        <f t="shared" si="32"/>
        <v>108</v>
      </c>
      <c r="W345" s="5">
        <f t="shared" si="30"/>
        <v>850</v>
      </c>
      <c r="X345" s="9" t="str">
        <f t="shared" si="31"/>
        <v>m850</v>
      </c>
    </row>
    <row r="346" spans="1:24" x14ac:dyDescent="0.2">
      <c r="A346" s="9" t="s">
        <v>425</v>
      </c>
      <c r="B346" s="9">
        <v>1</v>
      </c>
      <c r="C346" s="22">
        <v>7</v>
      </c>
      <c r="D346" s="25"/>
      <c r="E346" s="18">
        <v>45215</v>
      </c>
      <c r="F346" s="18" t="s">
        <v>363</v>
      </c>
      <c r="G346" s="20" t="s">
        <v>14</v>
      </c>
      <c r="H346" s="19">
        <v>0.6</v>
      </c>
      <c r="I346" s="20" t="s">
        <v>166</v>
      </c>
      <c r="J346" s="20" t="s">
        <v>7</v>
      </c>
      <c r="K346" s="20" t="s">
        <v>9</v>
      </c>
      <c r="L346" s="20">
        <f t="shared" si="29"/>
        <v>676</v>
      </c>
      <c r="M346" s="4" t="str">
        <f>IF(Table3[[#This Row],[Afrondingsdatum YB]]="N/A","-",Table3[[#This Row],[Afrondingsdatum YB]]-Table3[[#This Row],[StartDatum]])</f>
        <v>-</v>
      </c>
      <c r="N346" s="4"/>
      <c r="O346">
        <f t="shared" si="27"/>
        <v>97</v>
      </c>
      <c r="P346">
        <f t="shared" si="32"/>
        <v>110</v>
      </c>
      <c r="Q346">
        <f t="shared" si="32"/>
        <v>103</v>
      </c>
      <c r="R346">
        <f t="shared" si="32"/>
        <v>101</v>
      </c>
      <c r="S346">
        <f t="shared" si="32"/>
        <v>108</v>
      </c>
      <c r="T346">
        <f t="shared" si="32"/>
        <v>111</v>
      </c>
      <c r="U346">
        <f t="shared" si="32"/>
        <v>46</v>
      </c>
      <c r="V346">
        <f t="shared" si="32"/>
        <v>115</v>
      </c>
      <c r="W346" s="5">
        <f t="shared" si="30"/>
        <v>866</v>
      </c>
      <c r="X346" s="9" t="str">
        <f t="shared" si="31"/>
        <v>n866</v>
      </c>
    </row>
    <row r="347" spans="1:24" x14ac:dyDescent="0.2">
      <c r="A347" s="9" t="s">
        <v>425</v>
      </c>
      <c r="B347" s="9">
        <v>1</v>
      </c>
      <c r="C347" s="22">
        <v>7</v>
      </c>
      <c r="D347" s="25"/>
      <c r="E347" s="23">
        <v>45215</v>
      </c>
      <c r="F347" s="23" t="s">
        <v>362</v>
      </c>
      <c r="G347" s="25" t="s">
        <v>15</v>
      </c>
      <c r="H347" s="24">
        <v>0.2</v>
      </c>
      <c r="I347" s="25" t="s">
        <v>167</v>
      </c>
      <c r="J347" s="25" t="s">
        <v>7</v>
      </c>
      <c r="K347" s="25" t="s">
        <v>9</v>
      </c>
      <c r="L347" s="25">
        <f t="shared" si="29"/>
        <v>755</v>
      </c>
      <c r="M347" s="4" t="str">
        <f>IF(Table3[[#This Row],[Afrondingsdatum YB]]="N/A","-",Table3[[#This Row],[Afrondingsdatum YB]]-Table3[[#This Row],[StartDatum]])</f>
        <v>-</v>
      </c>
      <c r="N347" s="4"/>
      <c r="O347">
        <f t="shared" si="27"/>
        <v>97</v>
      </c>
      <c r="P347">
        <f t="shared" si="32"/>
        <v>115</v>
      </c>
      <c r="Q347">
        <f t="shared" si="32"/>
        <v>104</v>
      </c>
      <c r="R347">
        <f t="shared" si="32"/>
        <v>111</v>
      </c>
      <c r="S347">
        <f t="shared" si="32"/>
        <v>101</v>
      </c>
      <c r="T347">
        <f t="shared" si="32"/>
        <v>116</v>
      </c>
      <c r="U347">
        <f t="shared" si="32"/>
        <v>111</v>
      </c>
      <c r="V347">
        <f t="shared" si="32"/>
        <v>115</v>
      </c>
      <c r="W347" s="5">
        <f t="shared" si="30"/>
        <v>937</v>
      </c>
      <c r="X347" s="9" t="str">
        <f t="shared" si="31"/>
        <v>s937</v>
      </c>
    </row>
    <row r="348" spans="1:24" x14ac:dyDescent="0.2">
      <c r="A348" s="9" t="s">
        <v>425</v>
      </c>
      <c r="B348" s="9">
        <v>1</v>
      </c>
      <c r="C348" s="22">
        <v>7</v>
      </c>
      <c r="D348" s="25"/>
      <c r="E348" s="18">
        <v>45215</v>
      </c>
      <c r="F348" s="18" t="s">
        <v>364</v>
      </c>
      <c r="G348" s="20" t="s">
        <v>16</v>
      </c>
      <c r="H348" s="19">
        <v>0.15</v>
      </c>
      <c r="I348" s="20" t="s">
        <v>101</v>
      </c>
      <c r="J348" s="20" t="s">
        <v>7</v>
      </c>
      <c r="K348" s="20" t="s">
        <v>9</v>
      </c>
      <c r="L348" s="20">
        <f t="shared" si="29"/>
        <v>672</v>
      </c>
      <c r="M348" s="4" t="str">
        <f>IF(Table3[[#This Row],[Afrondingsdatum YB]]="N/A","-",Table3[[#This Row],[Afrondingsdatum YB]]-Table3[[#This Row],[StartDatum]])</f>
        <v>-</v>
      </c>
      <c r="N348" s="4"/>
      <c r="O348">
        <f t="shared" si="27"/>
        <v>97</v>
      </c>
      <c r="P348">
        <f t="shared" si="32"/>
        <v>121</v>
      </c>
      <c r="Q348">
        <f t="shared" si="32"/>
        <v>100</v>
      </c>
      <c r="R348">
        <f t="shared" si="32"/>
        <v>101</v>
      </c>
      <c r="S348">
        <f t="shared" si="32"/>
        <v>110</v>
      </c>
      <c r="T348">
        <f t="shared" si="32"/>
        <v>46</v>
      </c>
      <c r="U348">
        <f t="shared" si="32"/>
        <v>97</v>
      </c>
      <c r="V348">
        <f t="shared" si="32"/>
        <v>110</v>
      </c>
      <c r="W348" s="5">
        <f t="shared" si="30"/>
        <v>846</v>
      </c>
      <c r="X348" s="9" t="str">
        <f t="shared" si="31"/>
        <v>y846</v>
      </c>
    </row>
    <row r="349" spans="1:24" x14ac:dyDescent="0.2">
      <c r="A349" s="9" t="s">
        <v>425</v>
      </c>
      <c r="B349" s="9">
        <v>1</v>
      </c>
      <c r="C349" s="22">
        <v>7</v>
      </c>
      <c r="D349" s="25"/>
      <c r="E349" s="23">
        <v>45215</v>
      </c>
      <c r="F349" s="23" t="s">
        <v>362</v>
      </c>
      <c r="G349" s="25" t="s">
        <v>17</v>
      </c>
      <c r="H349" s="24">
        <v>7.0000000000000007E-2</v>
      </c>
      <c r="I349" s="25" t="s">
        <v>168</v>
      </c>
      <c r="J349" s="25" t="s">
        <v>7</v>
      </c>
      <c r="K349" s="25" t="s">
        <v>9</v>
      </c>
      <c r="L349" s="25">
        <f t="shared" si="29"/>
        <v>707</v>
      </c>
      <c r="M349" s="4" t="str">
        <f>IF(Table3[[#This Row],[Afrondingsdatum YB]]="N/A","-",Table3[[#This Row],[Afrondingsdatum YB]]-Table3[[#This Row],[StartDatum]])</f>
        <v>-</v>
      </c>
      <c r="N349" s="4"/>
      <c r="O349">
        <f t="shared" si="27"/>
        <v>98</v>
      </c>
      <c r="P349">
        <f t="shared" si="32"/>
        <v>101</v>
      </c>
      <c r="Q349">
        <f t="shared" si="32"/>
        <v>116</v>
      </c>
      <c r="R349">
        <f t="shared" si="32"/>
        <v>117</v>
      </c>
      <c r="S349">
        <f t="shared" si="32"/>
        <v>108</v>
      </c>
      <c r="T349">
        <f t="shared" si="32"/>
        <v>46</v>
      </c>
      <c r="U349">
        <f t="shared" si="32"/>
        <v>121</v>
      </c>
      <c r="V349">
        <f t="shared" si="32"/>
        <v>117</v>
      </c>
      <c r="W349" s="5">
        <f t="shared" si="30"/>
        <v>918</v>
      </c>
      <c r="X349" s="9" t="str">
        <f t="shared" si="31"/>
        <v>e918</v>
      </c>
    </row>
    <row r="350" spans="1:24" x14ac:dyDescent="0.2">
      <c r="A350" s="9" t="s">
        <v>425</v>
      </c>
      <c r="B350" s="9">
        <v>1</v>
      </c>
      <c r="C350" s="22">
        <v>7</v>
      </c>
      <c r="D350" s="25"/>
      <c r="E350" s="18">
        <v>45215</v>
      </c>
      <c r="F350" s="18" t="s">
        <v>364</v>
      </c>
      <c r="G350" s="20" t="s">
        <v>115</v>
      </c>
      <c r="H350" s="19">
        <v>0</v>
      </c>
      <c r="I350" s="20" t="s">
        <v>8</v>
      </c>
      <c r="J350" s="20" t="s">
        <v>7</v>
      </c>
      <c r="K350" s="20" t="s">
        <v>9</v>
      </c>
      <c r="L350" s="20">
        <f t="shared" si="29"/>
        <v>748</v>
      </c>
      <c r="M350" s="4" t="str">
        <f>IF(Table3[[#This Row],[Afrondingsdatum YB]]="N/A","-",Table3[[#This Row],[Afrondingsdatum YB]]-Table3[[#This Row],[StartDatum]])</f>
        <v>-</v>
      </c>
      <c r="N350" s="4"/>
      <c r="O350">
        <f t="shared" si="27"/>
        <v>98</v>
      </c>
      <c r="P350">
        <f t="shared" si="32"/>
        <v>106</v>
      </c>
      <c r="Q350">
        <f t="shared" si="32"/>
        <v>111</v>
      </c>
      <c r="R350">
        <f t="shared" si="32"/>
        <v>114</v>
      </c>
      <c r="S350">
        <f t="shared" si="32"/>
        <v>110</v>
      </c>
      <c r="T350">
        <f t="shared" si="32"/>
        <v>108</v>
      </c>
      <c r="U350">
        <f t="shared" si="32"/>
        <v>101</v>
      </c>
      <c r="V350">
        <f t="shared" si="32"/>
        <v>118</v>
      </c>
      <c r="W350" s="5">
        <f t="shared" si="30"/>
        <v>950</v>
      </c>
      <c r="X350" s="9" t="str">
        <f t="shared" si="31"/>
        <v>j950</v>
      </c>
    </row>
    <row r="351" spans="1:24" x14ac:dyDescent="0.2">
      <c r="A351" s="9" t="s">
        <v>425</v>
      </c>
      <c r="B351" s="9">
        <v>1</v>
      </c>
      <c r="C351" s="22">
        <v>7</v>
      </c>
      <c r="D351" s="25"/>
      <c r="E351" s="23">
        <v>45215</v>
      </c>
      <c r="F351" s="23" t="s">
        <v>363</v>
      </c>
      <c r="G351" s="25" t="s">
        <v>18</v>
      </c>
      <c r="H351" s="24">
        <v>0.84</v>
      </c>
      <c r="I351" s="25" t="s">
        <v>169</v>
      </c>
      <c r="J351" s="25" t="s">
        <v>7</v>
      </c>
      <c r="K351" s="25" t="s">
        <v>9</v>
      </c>
      <c r="L351" s="25">
        <f t="shared" si="29"/>
        <v>687</v>
      </c>
      <c r="M351" s="4" t="str">
        <f>IF(Table3[[#This Row],[Afrondingsdatum YB]]="N/A","-",Table3[[#This Row],[Afrondingsdatum YB]]-Table3[[#This Row],[StartDatum]])</f>
        <v>-</v>
      </c>
      <c r="N351" s="4"/>
      <c r="O351">
        <f t="shared" si="27"/>
        <v>98</v>
      </c>
      <c r="P351">
        <f t="shared" si="32"/>
        <v>114</v>
      </c>
      <c r="Q351">
        <f t="shared" si="32"/>
        <v>101</v>
      </c>
      <c r="R351">
        <f t="shared" si="32"/>
        <v>116</v>
      </c>
      <c r="S351">
        <f t="shared" si="32"/>
        <v>104</v>
      </c>
      <c r="T351">
        <f t="shared" si="32"/>
        <v>46</v>
      </c>
      <c r="U351">
        <f t="shared" si="32"/>
        <v>108</v>
      </c>
      <c r="V351">
        <f t="shared" si="32"/>
        <v>97</v>
      </c>
      <c r="W351" s="5">
        <f t="shared" si="30"/>
        <v>842</v>
      </c>
      <c r="X351" s="9" t="str">
        <f t="shared" si="31"/>
        <v>r842</v>
      </c>
    </row>
    <row r="352" spans="1:24" x14ac:dyDescent="0.2">
      <c r="A352" s="9" t="s">
        <v>425</v>
      </c>
      <c r="B352" s="9">
        <v>1</v>
      </c>
      <c r="C352" s="22">
        <v>7</v>
      </c>
      <c r="D352" s="25"/>
      <c r="E352" s="18">
        <v>45215</v>
      </c>
      <c r="F352" s="18" t="s">
        <v>364</v>
      </c>
      <c r="G352" s="20" t="s">
        <v>19</v>
      </c>
      <c r="H352" s="19">
        <v>1</v>
      </c>
      <c r="I352" s="20" t="s">
        <v>170</v>
      </c>
      <c r="J352" s="34">
        <v>45212</v>
      </c>
      <c r="K352" s="19">
        <v>0.83</v>
      </c>
      <c r="L352" s="20">
        <f t="shared" si="29"/>
        <v>733</v>
      </c>
      <c r="M352" s="4">
        <f>IF(Table3[[#This Row],[Afrondingsdatum YB]]="N/A","-",Table3[[#This Row],[Afrondingsdatum YB]]-Table3[[#This Row],[StartDatum]])</f>
        <v>45212</v>
      </c>
      <c r="N352" s="4"/>
      <c r="O352">
        <f t="shared" ref="O352:V398" si="33">CODE(MID($G352,O$1,1))</f>
        <v>99</v>
      </c>
      <c r="P352">
        <f t="shared" si="32"/>
        <v>104</v>
      </c>
      <c r="Q352">
        <f t="shared" si="32"/>
        <v>97</v>
      </c>
      <c r="R352">
        <f t="shared" si="32"/>
        <v>114</v>
      </c>
      <c r="S352">
        <f t="shared" si="32"/>
        <v>108</v>
      </c>
      <c r="T352">
        <f t="shared" si="32"/>
        <v>101</v>
      </c>
      <c r="U352">
        <f t="shared" si="32"/>
        <v>110</v>
      </c>
      <c r="V352">
        <f t="shared" si="32"/>
        <v>101</v>
      </c>
      <c r="W352" s="5">
        <f t="shared" si="30"/>
        <v>891</v>
      </c>
      <c r="X352" s="9" t="str">
        <f t="shared" si="31"/>
        <v>h891</v>
      </c>
    </row>
    <row r="353" spans="1:24" x14ac:dyDescent="0.2">
      <c r="A353" s="9" t="s">
        <v>425</v>
      </c>
      <c r="B353" s="9">
        <v>1</v>
      </c>
      <c r="C353" s="22">
        <v>7</v>
      </c>
      <c r="D353" s="25"/>
      <c r="E353" s="23">
        <v>45215</v>
      </c>
      <c r="F353" s="23" t="s">
        <v>364</v>
      </c>
      <c r="G353" s="25" t="s">
        <v>20</v>
      </c>
      <c r="H353" s="24">
        <v>1</v>
      </c>
      <c r="I353" s="25" t="s">
        <v>171</v>
      </c>
      <c r="J353" s="32">
        <v>45209</v>
      </c>
      <c r="K353" s="24">
        <v>0.83</v>
      </c>
      <c r="L353" s="25">
        <f t="shared" si="29"/>
        <v>668</v>
      </c>
      <c r="M353" s="4">
        <f>IF(Table3[[#This Row],[Afrondingsdatum YB]]="N/A","-",Table3[[#This Row],[Afrondingsdatum YB]]-Table3[[#This Row],[StartDatum]])</f>
        <v>45209</v>
      </c>
      <c r="N353" s="4"/>
      <c r="O353">
        <f t="shared" si="33"/>
        <v>99</v>
      </c>
      <c r="P353">
        <f t="shared" si="32"/>
        <v>104</v>
      </c>
      <c r="Q353">
        <f t="shared" si="32"/>
        <v>101</v>
      </c>
      <c r="R353">
        <f t="shared" si="32"/>
        <v>110</v>
      </c>
      <c r="S353">
        <f t="shared" si="32"/>
        <v>111</v>
      </c>
      <c r="T353">
        <f t="shared" si="32"/>
        <v>97</v>
      </c>
      <c r="U353">
        <f t="shared" si="32"/>
        <v>46</v>
      </c>
      <c r="V353">
        <f t="shared" si="32"/>
        <v>118</v>
      </c>
      <c r="W353" s="5">
        <f t="shared" si="30"/>
        <v>854</v>
      </c>
      <c r="X353" s="9" t="str">
        <f t="shared" si="31"/>
        <v>h854</v>
      </c>
    </row>
    <row r="354" spans="1:24" x14ac:dyDescent="0.2">
      <c r="A354" s="9" t="s">
        <v>425</v>
      </c>
      <c r="B354" s="9">
        <v>1</v>
      </c>
      <c r="C354" s="22">
        <v>7</v>
      </c>
      <c r="D354" s="25"/>
      <c r="E354" s="18">
        <v>45215</v>
      </c>
      <c r="F354" s="18" t="s">
        <v>364</v>
      </c>
      <c r="G354" s="20" t="s">
        <v>21</v>
      </c>
      <c r="H354" s="19">
        <v>0.53</v>
      </c>
      <c r="I354" s="20" t="s">
        <v>172</v>
      </c>
      <c r="J354" s="20" t="s">
        <v>7</v>
      </c>
      <c r="K354" s="20" t="s">
        <v>9</v>
      </c>
      <c r="L354" s="20">
        <f t="shared" si="29"/>
        <v>681</v>
      </c>
      <c r="M354" s="4" t="str">
        <f>IF(Table3[[#This Row],[Afrondingsdatum YB]]="N/A","-",Table3[[#This Row],[Afrondingsdatum YB]]-Table3[[#This Row],[StartDatum]])</f>
        <v>-</v>
      </c>
      <c r="N354" s="4"/>
      <c r="O354">
        <f t="shared" si="33"/>
        <v>100</v>
      </c>
      <c r="P354">
        <f t="shared" si="32"/>
        <v>97</v>
      </c>
      <c r="Q354">
        <f t="shared" si="32"/>
        <v>115</v>
      </c>
      <c r="R354">
        <f t="shared" si="32"/>
        <v>116</v>
      </c>
      <c r="S354">
        <f t="shared" si="32"/>
        <v>97</v>
      </c>
      <c r="T354">
        <f t="shared" si="32"/>
        <v>110</v>
      </c>
      <c r="U354">
        <f t="shared" si="32"/>
        <v>46</v>
      </c>
      <c r="V354">
        <f t="shared" si="32"/>
        <v>109</v>
      </c>
      <c r="W354" s="5">
        <f t="shared" si="30"/>
        <v>885</v>
      </c>
      <c r="X354" s="9" t="str">
        <f t="shared" si="31"/>
        <v>a885</v>
      </c>
    </row>
    <row r="355" spans="1:24" x14ac:dyDescent="0.2">
      <c r="A355" s="9" t="s">
        <v>425</v>
      </c>
      <c r="B355" s="9">
        <v>1</v>
      </c>
      <c r="C355" s="22">
        <v>7</v>
      </c>
      <c r="D355" s="25"/>
      <c r="E355" s="23">
        <v>45215</v>
      </c>
      <c r="F355" s="23" t="s">
        <v>363</v>
      </c>
      <c r="G355" s="25" t="s">
        <v>22</v>
      </c>
      <c r="H355" s="24">
        <v>0.53</v>
      </c>
      <c r="I355" s="25" t="s">
        <v>102</v>
      </c>
      <c r="J355" s="25" t="s">
        <v>7</v>
      </c>
      <c r="K355" s="25" t="s">
        <v>9</v>
      </c>
      <c r="L355" s="25">
        <f t="shared" si="29"/>
        <v>676</v>
      </c>
      <c r="M355" s="4" t="str">
        <f>IF(Table3[[#This Row],[Afrondingsdatum YB]]="N/A","-",Table3[[#This Row],[Afrondingsdatum YB]]-Table3[[#This Row],[StartDatum]])</f>
        <v>-</v>
      </c>
      <c r="N355" s="4"/>
      <c r="O355">
        <f t="shared" si="33"/>
        <v>100</v>
      </c>
      <c r="P355">
        <f t="shared" si="32"/>
        <v>101</v>
      </c>
      <c r="Q355">
        <f t="shared" si="32"/>
        <v>109</v>
      </c>
      <c r="R355">
        <f t="shared" si="32"/>
        <v>105</v>
      </c>
      <c r="S355">
        <f t="shared" si="32"/>
        <v>46</v>
      </c>
      <c r="T355">
        <f t="shared" si="32"/>
        <v>118</v>
      </c>
      <c r="U355">
        <f t="shared" si="32"/>
        <v>97</v>
      </c>
      <c r="V355">
        <f t="shared" si="32"/>
        <v>110</v>
      </c>
      <c r="W355" s="5">
        <f t="shared" si="30"/>
        <v>875</v>
      </c>
      <c r="X355" s="9" t="str">
        <f t="shared" si="31"/>
        <v>e875</v>
      </c>
    </row>
    <row r="356" spans="1:24" x14ac:dyDescent="0.2">
      <c r="A356" s="9" t="s">
        <v>425</v>
      </c>
      <c r="B356" s="9">
        <v>1</v>
      </c>
      <c r="C356" s="22">
        <v>7</v>
      </c>
      <c r="D356" s="25"/>
      <c r="E356" s="18">
        <v>45215</v>
      </c>
      <c r="F356" s="18" t="s">
        <v>363</v>
      </c>
      <c r="G356" s="20" t="s">
        <v>23</v>
      </c>
      <c r="H356" s="19">
        <v>0.13</v>
      </c>
      <c r="I356" s="20" t="s">
        <v>173</v>
      </c>
      <c r="J356" s="20" t="s">
        <v>7</v>
      </c>
      <c r="K356" s="20" t="s">
        <v>9</v>
      </c>
      <c r="L356" s="20">
        <f t="shared" si="29"/>
        <v>681</v>
      </c>
      <c r="M356" s="4" t="str">
        <f>IF(Table3[[#This Row],[Afrondingsdatum YB]]="N/A","-",Table3[[#This Row],[Afrondingsdatum YB]]-Table3[[#This Row],[StartDatum]])</f>
        <v>-</v>
      </c>
      <c r="N356" s="4"/>
      <c r="O356">
        <f t="shared" si="33"/>
        <v>101</v>
      </c>
      <c r="P356">
        <f t="shared" si="32"/>
        <v>108</v>
      </c>
      <c r="Q356">
        <f t="shared" si="32"/>
        <v>105</v>
      </c>
      <c r="R356">
        <f t="shared" si="32"/>
        <v>122</v>
      </c>
      <c r="S356">
        <f t="shared" si="32"/>
        <v>101</v>
      </c>
      <c r="T356">
        <f t="shared" si="32"/>
        <v>46</v>
      </c>
      <c r="U356">
        <f t="shared" si="32"/>
        <v>98</v>
      </c>
      <c r="V356">
        <f t="shared" si="32"/>
        <v>97</v>
      </c>
      <c r="W356" s="5">
        <f t="shared" si="30"/>
        <v>843</v>
      </c>
      <c r="X356" s="9" t="str">
        <f t="shared" si="31"/>
        <v>l843</v>
      </c>
    </row>
    <row r="357" spans="1:24" x14ac:dyDescent="0.2">
      <c r="A357" s="9" t="s">
        <v>425</v>
      </c>
      <c r="B357" s="9">
        <v>1</v>
      </c>
      <c r="C357" s="22">
        <v>7</v>
      </c>
      <c r="D357" s="25"/>
      <c r="E357" s="23">
        <v>45215</v>
      </c>
      <c r="F357" s="23" t="s">
        <v>363</v>
      </c>
      <c r="G357" s="25" t="s">
        <v>24</v>
      </c>
      <c r="H357" s="24">
        <v>0.54</v>
      </c>
      <c r="I357" s="25" t="s">
        <v>174</v>
      </c>
      <c r="J357" s="25" t="s">
        <v>7</v>
      </c>
      <c r="K357" s="25" t="s">
        <v>9</v>
      </c>
      <c r="L357" s="25">
        <f t="shared" si="29"/>
        <v>705</v>
      </c>
      <c r="M357" s="4" t="str">
        <f>IF(Table3[[#This Row],[Afrondingsdatum YB]]="N/A","-",Table3[[#This Row],[Afrondingsdatum YB]]-Table3[[#This Row],[StartDatum]])</f>
        <v>-</v>
      </c>
      <c r="N357" s="4"/>
      <c r="O357">
        <f t="shared" si="33"/>
        <v>102</v>
      </c>
      <c r="P357">
        <f t="shared" si="32"/>
        <v>105</v>
      </c>
      <c r="Q357">
        <f t="shared" si="32"/>
        <v>115</v>
      </c>
      <c r="R357">
        <f t="shared" si="32"/>
        <v>116</v>
      </c>
      <c r="S357">
        <f t="shared" si="32"/>
        <v>111</v>
      </c>
      <c r="T357">
        <f t="shared" si="32"/>
        <v>110</v>
      </c>
      <c r="U357">
        <f t="shared" si="32"/>
        <v>46</v>
      </c>
      <c r="V357">
        <f t="shared" si="32"/>
        <v>99</v>
      </c>
      <c r="W357" s="5">
        <f t="shared" si="30"/>
        <v>895</v>
      </c>
      <c r="X357" s="9" t="str">
        <f t="shared" si="31"/>
        <v>i895</v>
      </c>
    </row>
    <row r="358" spans="1:24" x14ac:dyDescent="0.2">
      <c r="A358" s="9" t="s">
        <v>425</v>
      </c>
      <c r="B358" s="9">
        <v>1</v>
      </c>
      <c r="C358" s="22">
        <v>7</v>
      </c>
      <c r="D358" s="25"/>
      <c r="E358" s="18">
        <v>45215</v>
      </c>
      <c r="F358" s="18" t="s">
        <v>362</v>
      </c>
      <c r="G358" s="20" t="s">
        <v>118</v>
      </c>
      <c r="H358" s="19">
        <v>0</v>
      </c>
      <c r="I358" s="20" t="s">
        <v>8</v>
      </c>
      <c r="J358" s="20" t="s">
        <v>7</v>
      </c>
      <c r="K358" s="20" t="s">
        <v>9</v>
      </c>
      <c r="L358" s="20">
        <f t="shared" si="29"/>
        <v>756</v>
      </c>
      <c r="M358" s="4" t="str">
        <f>IF(Table3[[#This Row],[Afrondingsdatum YB]]="N/A","-",Table3[[#This Row],[Afrondingsdatum YB]]-Table3[[#This Row],[StartDatum]])</f>
        <v>-</v>
      </c>
      <c r="N358" s="4"/>
      <c r="O358">
        <f t="shared" si="33"/>
        <v>103</v>
      </c>
      <c r="P358">
        <f t="shared" si="32"/>
        <v>101</v>
      </c>
      <c r="Q358">
        <f t="shared" si="32"/>
        <v>110</v>
      </c>
      <c r="R358">
        <f t="shared" si="32"/>
        <v>116</v>
      </c>
      <c r="S358">
        <f t="shared" si="32"/>
        <v>97</v>
      </c>
      <c r="T358">
        <f t="shared" si="32"/>
        <v>108</v>
      </c>
      <c r="U358">
        <f t="shared" si="32"/>
        <v>121</v>
      </c>
      <c r="V358">
        <f t="shared" si="32"/>
        <v>46</v>
      </c>
      <c r="W358" s="5">
        <f t="shared" si="30"/>
        <v>885</v>
      </c>
      <c r="X358" s="9" t="str">
        <f t="shared" si="31"/>
        <v>e885</v>
      </c>
    </row>
    <row r="359" spans="1:24" x14ac:dyDescent="0.2">
      <c r="A359" s="9" t="s">
        <v>425</v>
      </c>
      <c r="B359" s="9">
        <v>1</v>
      </c>
      <c r="C359" s="22">
        <v>7</v>
      </c>
      <c r="D359" s="25"/>
      <c r="E359" s="23">
        <v>45215</v>
      </c>
      <c r="F359" s="23" t="s">
        <v>362</v>
      </c>
      <c r="G359" s="25" t="s">
        <v>25</v>
      </c>
      <c r="H359" s="24">
        <v>0.23</v>
      </c>
      <c r="I359" s="25" t="s">
        <v>175</v>
      </c>
      <c r="J359" s="25" t="s">
        <v>7</v>
      </c>
      <c r="K359" s="25" t="s">
        <v>9</v>
      </c>
      <c r="L359" s="25">
        <f t="shared" si="29"/>
        <v>690</v>
      </c>
      <c r="M359" s="4" t="str">
        <f>IF(Table3[[#This Row],[Afrondingsdatum YB]]="N/A","-",Table3[[#This Row],[Afrondingsdatum YB]]-Table3[[#This Row],[StartDatum]])</f>
        <v>-</v>
      </c>
      <c r="N359" s="4"/>
      <c r="O359">
        <f t="shared" si="33"/>
        <v>103</v>
      </c>
      <c r="P359">
        <f t="shared" si="32"/>
        <v>108</v>
      </c>
      <c r="Q359">
        <f t="shared" si="32"/>
        <v>105</v>
      </c>
      <c r="R359">
        <f t="shared" si="32"/>
        <v>103</v>
      </c>
      <c r="S359">
        <f t="shared" si="32"/>
        <v>111</v>
      </c>
      <c r="T359">
        <f t="shared" si="32"/>
        <v>114</v>
      </c>
      <c r="U359">
        <f t="shared" si="32"/>
        <v>46</v>
      </c>
      <c r="V359">
        <f t="shared" si="32"/>
        <v>106</v>
      </c>
      <c r="W359" s="5">
        <f t="shared" si="30"/>
        <v>875</v>
      </c>
      <c r="X359" s="9" t="str">
        <f t="shared" si="31"/>
        <v>l875</v>
      </c>
    </row>
    <row r="360" spans="1:24" x14ac:dyDescent="0.2">
      <c r="A360" s="9" t="s">
        <v>425</v>
      </c>
      <c r="B360" s="9">
        <v>1</v>
      </c>
      <c r="C360" s="22">
        <v>7</v>
      </c>
      <c r="D360" s="25"/>
      <c r="E360" s="18">
        <v>45215</v>
      </c>
      <c r="F360" s="18" t="s">
        <v>363</v>
      </c>
      <c r="G360" s="20" t="s">
        <v>26</v>
      </c>
      <c r="H360" s="19">
        <v>0.48</v>
      </c>
      <c r="I360" s="20" t="s">
        <v>176</v>
      </c>
      <c r="J360" s="20" t="s">
        <v>7</v>
      </c>
      <c r="K360" s="20" t="s">
        <v>9</v>
      </c>
      <c r="L360" s="20">
        <f t="shared" si="29"/>
        <v>690</v>
      </c>
      <c r="M360" s="4" t="str">
        <f>IF(Table3[[#This Row],[Afrondingsdatum YB]]="N/A","-",Table3[[#This Row],[Afrondingsdatum YB]]-Table3[[#This Row],[StartDatum]])</f>
        <v>-</v>
      </c>
      <c r="N360" s="4"/>
      <c r="O360">
        <f t="shared" si="33"/>
        <v>104</v>
      </c>
      <c r="P360">
        <f t="shared" si="32"/>
        <v>97</v>
      </c>
      <c r="Q360">
        <f t="shared" si="32"/>
        <v>122</v>
      </c>
      <c r="R360">
        <f t="shared" si="32"/>
        <v>101</v>
      </c>
      <c r="S360">
        <f t="shared" si="32"/>
        <v>109</v>
      </c>
      <c r="T360">
        <f t="shared" si="32"/>
        <v>46</v>
      </c>
      <c r="U360">
        <f t="shared" si="32"/>
        <v>111</v>
      </c>
      <c r="V360">
        <f t="shared" si="32"/>
        <v>110</v>
      </c>
      <c r="W360" s="5">
        <f t="shared" si="30"/>
        <v>920</v>
      </c>
      <c r="X360" s="9" t="str">
        <f t="shared" si="31"/>
        <v>a920</v>
      </c>
    </row>
    <row r="361" spans="1:24" x14ac:dyDescent="0.2">
      <c r="A361" s="9" t="s">
        <v>425</v>
      </c>
      <c r="B361" s="9">
        <v>1</v>
      </c>
      <c r="C361" s="22">
        <v>7</v>
      </c>
      <c r="D361" s="25"/>
      <c r="E361" s="23">
        <v>45215</v>
      </c>
      <c r="F361" s="23" t="s">
        <v>364</v>
      </c>
      <c r="G361" s="25" t="s">
        <v>27</v>
      </c>
      <c r="H361" s="24">
        <v>0.53</v>
      </c>
      <c r="I361" s="25" t="s">
        <v>177</v>
      </c>
      <c r="J361" s="25" t="s">
        <v>7</v>
      </c>
      <c r="K361" s="25" t="s">
        <v>9</v>
      </c>
      <c r="L361" s="25">
        <f t="shared" si="29"/>
        <v>734</v>
      </c>
      <c r="M361" s="4" t="str">
        <f>IF(Table3[[#This Row],[Afrondingsdatum YB]]="N/A","-",Table3[[#This Row],[Afrondingsdatum YB]]-Table3[[#This Row],[StartDatum]])</f>
        <v>-</v>
      </c>
      <c r="N361" s="4"/>
      <c r="O361">
        <f t="shared" si="33"/>
        <v>104</v>
      </c>
      <c r="P361">
        <f t="shared" si="32"/>
        <v>101</v>
      </c>
      <c r="Q361">
        <f t="shared" si="32"/>
        <v>114</v>
      </c>
      <c r="R361">
        <f t="shared" si="32"/>
        <v>109</v>
      </c>
      <c r="S361">
        <f t="shared" si="32"/>
        <v>101</v>
      </c>
      <c r="T361">
        <f t="shared" si="32"/>
        <v>108</v>
      </c>
      <c r="U361">
        <f t="shared" si="32"/>
        <v>97</v>
      </c>
      <c r="V361">
        <f t="shared" si="32"/>
        <v>46</v>
      </c>
      <c r="W361" s="5">
        <f t="shared" si="30"/>
        <v>876</v>
      </c>
      <c r="X361" s="9" t="str">
        <f t="shared" si="31"/>
        <v>e876</v>
      </c>
    </row>
    <row r="362" spans="1:24" x14ac:dyDescent="0.2">
      <c r="A362" s="9" t="s">
        <v>425</v>
      </c>
      <c r="B362" s="9">
        <v>1</v>
      </c>
      <c r="C362" s="22">
        <v>7</v>
      </c>
      <c r="D362" s="25"/>
      <c r="E362" s="18">
        <v>45215</v>
      </c>
      <c r="F362" s="18" t="s">
        <v>364</v>
      </c>
      <c r="G362" s="20" t="s">
        <v>28</v>
      </c>
      <c r="H362" s="19">
        <v>0.26</v>
      </c>
      <c r="I362" s="20" t="s">
        <v>178</v>
      </c>
      <c r="J362" s="20" t="s">
        <v>7</v>
      </c>
      <c r="K362" s="20" t="s">
        <v>9</v>
      </c>
      <c r="L362" s="20">
        <f t="shared" si="29"/>
        <v>665</v>
      </c>
      <c r="M362" s="4" t="str">
        <f>IF(Table3[[#This Row],[Afrondingsdatum YB]]="N/A","-",Table3[[#This Row],[Afrondingsdatum YB]]-Table3[[#This Row],[StartDatum]])</f>
        <v>-</v>
      </c>
      <c r="N362" s="4"/>
      <c r="O362">
        <f t="shared" si="33"/>
        <v>104</v>
      </c>
      <c r="P362">
        <f t="shared" si="32"/>
        <v>117</v>
      </c>
      <c r="Q362">
        <f t="shared" si="32"/>
        <v>105</v>
      </c>
      <c r="R362">
        <f t="shared" si="32"/>
        <v>98</v>
      </c>
      <c r="S362">
        <f t="shared" si="32"/>
        <v>46</v>
      </c>
      <c r="T362">
        <f t="shared" si="32"/>
        <v>98</v>
      </c>
      <c r="U362">
        <f t="shared" si="32"/>
        <v>97</v>
      </c>
      <c r="V362">
        <f t="shared" si="32"/>
        <v>107</v>
      </c>
      <c r="W362" s="5">
        <f t="shared" si="30"/>
        <v>850</v>
      </c>
      <c r="X362" s="9" t="str">
        <f t="shared" si="31"/>
        <v>u850</v>
      </c>
    </row>
    <row r="363" spans="1:24" x14ac:dyDescent="0.2">
      <c r="A363" s="9" t="s">
        <v>425</v>
      </c>
      <c r="B363" s="9">
        <v>1</v>
      </c>
      <c r="C363" s="22">
        <v>7</v>
      </c>
      <c r="D363" s="25"/>
      <c r="E363" s="23">
        <v>45215</v>
      </c>
      <c r="F363" s="23" t="s">
        <v>363</v>
      </c>
      <c r="G363" s="25" t="s">
        <v>29</v>
      </c>
      <c r="H363" s="24">
        <v>1</v>
      </c>
      <c r="I363" s="25" t="s">
        <v>179</v>
      </c>
      <c r="J363" s="32">
        <v>45210</v>
      </c>
      <c r="K363" s="24">
        <v>0.85</v>
      </c>
      <c r="L363" s="25">
        <f t="shared" si="29"/>
        <v>682</v>
      </c>
      <c r="M363" s="4">
        <f>IF(Table3[[#This Row],[Afrondingsdatum YB]]="N/A","-",Table3[[#This Row],[Afrondingsdatum YB]]-Table3[[#This Row],[StartDatum]])</f>
        <v>45210</v>
      </c>
      <c r="N363" s="4"/>
      <c r="O363">
        <f t="shared" si="33"/>
        <v>105</v>
      </c>
      <c r="P363">
        <f t="shared" si="32"/>
        <v>107</v>
      </c>
      <c r="Q363">
        <f t="shared" si="32"/>
        <v>104</v>
      </c>
      <c r="R363">
        <f t="shared" si="32"/>
        <v>108</v>
      </c>
      <c r="S363">
        <f t="shared" si="32"/>
        <v>97</v>
      </c>
      <c r="T363">
        <f t="shared" si="32"/>
        <v>115</v>
      </c>
      <c r="U363">
        <f t="shared" si="32"/>
        <v>46</v>
      </c>
      <c r="V363">
        <f t="shared" si="32"/>
        <v>98</v>
      </c>
      <c r="W363" s="5">
        <f t="shared" si="30"/>
        <v>854</v>
      </c>
      <c r="X363" s="9" t="str">
        <f t="shared" si="31"/>
        <v>k854</v>
      </c>
    </row>
    <row r="364" spans="1:24" x14ac:dyDescent="0.2">
      <c r="A364" s="9" t="s">
        <v>425</v>
      </c>
      <c r="B364" s="9">
        <v>1</v>
      </c>
      <c r="C364" s="22">
        <v>7</v>
      </c>
      <c r="D364" s="25"/>
      <c r="E364" s="18">
        <v>45215</v>
      </c>
      <c r="F364" s="18" t="s">
        <v>363</v>
      </c>
      <c r="G364" s="20" t="s">
        <v>30</v>
      </c>
      <c r="H364" s="19">
        <v>0.75</v>
      </c>
      <c r="I364" s="20" t="s">
        <v>180</v>
      </c>
      <c r="J364" s="20" t="s">
        <v>7</v>
      </c>
      <c r="K364" s="20" t="s">
        <v>9</v>
      </c>
      <c r="L364" s="20">
        <f t="shared" si="29"/>
        <v>701</v>
      </c>
      <c r="M364" s="4" t="str">
        <f>IF(Table3[[#This Row],[Afrondingsdatum YB]]="N/A","-",Table3[[#This Row],[Afrondingsdatum YB]]-Table3[[#This Row],[StartDatum]])</f>
        <v>-</v>
      </c>
      <c r="N364" s="4"/>
      <c r="O364">
        <f t="shared" si="33"/>
        <v>105</v>
      </c>
      <c r="P364">
        <f t="shared" si="32"/>
        <v>108</v>
      </c>
      <c r="Q364">
        <f t="shared" si="32"/>
        <v>107</v>
      </c>
      <c r="R364">
        <f t="shared" si="32"/>
        <v>97</v>
      </c>
      <c r="S364">
        <f t="shared" si="32"/>
        <v>121</v>
      </c>
      <c r="T364">
        <f t="shared" si="32"/>
        <v>46</v>
      </c>
      <c r="U364">
        <f t="shared" si="32"/>
        <v>117</v>
      </c>
      <c r="V364">
        <f t="shared" si="32"/>
        <v>121</v>
      </c>
      <c r="W364" s="5">
        <f t="shared" si="30"/>
        <v>909</v>
      </c>
      <c r="X364" s="9" t="str">
        <f t="shared" si="31"/>
        <v>l909</v>
      </c>
    </row>
    <row r="365" spans="1:24" x14ac:dyDescent="0.2">
      <c r="A365" s="9" t="s">
        <v>425</v>
      </c>
      <c r="B365" s="9">
        <v>1</v>
      </c>
      <c r="C365" s="22">
        <v>7</v>
      </c>
      <c r="D365" s="25"/>
      <c r="E365" s="23">
        <v>45215</v>
      </c>
      <c r="F365" s="23" t="s">
        <v>364</v>
      </c>
      <c r="G365" s="25" t="s">
        <v>31</v>
      </c>
      <c r="H365" s="24">
        <v>0.56000000000000005</v>
      </c>
      <c r="I365" s="25" t="s">
        <v>164</v>
      </c>
      <c r="J365" s="25" t="s">
        <v>7</v>
      </c>
      <c r="K365" s="25" t="s">
        <v>9</v>
      </c>
      <c r="L365" s="25">
        <f t="shared" si="29"/>
        <v>661</v>
      </c>
      <c r="M365" s="4" t="str">
        <f>IF(Table3[[#This Row],[Afrondingsdatum YB]]="N/A","-",Table3[[#This Row],[Afrondingsdatum YB]]-Table3[[#This Row],[StartDatum]])</f>
        <v>-</v>
      </c>
      <c r="N365" s="4"/>
      <c r="O365">
        <f t="shared" si="33"/>
        <v>106</v>
      </c>
      <c r="P365">
        <f t="shared" si="32"/>
        <v>97</v>
      </c>
      <c r="Q365">
        <f t="shared" si="32"/>
        <v>109</v>
      </c>
      <c r="R365">
        <f t="shared" si="32"/>
        <v>97</v>
      </c>
      <c r="S365">
        <f t="shared" si="32"/>
        <v>108</v>
      </c>
      <c r="T365">
        <f t="shared" si="32"/>
        <v>46</v>
      </c>
      <c r="U365">
        <f t="shared" si="32"/>
        <v>98</v>
      </c>
      <c r="V365">
        <f t="shared" si="32"/>
        <v>97</v>
      </c>
      <c r="W365" s="5">
        <f t="shared" si="30"/>
        <v>855</v>
      </c>
      <c r="X365" s="9" t="str">
        <f t="shared" si="31"/>
        <v>a855</v>
      </c>
    </row>
    <row r="366" spans="1:24" x14ac:dyDescent="0.2">
      <c r="A366" s="9" t="s">
        <v>425</v>
      </c>
      <c r="B366" s="9">
        <v>1</v>
      </c>
      <c r="C366" s="22">
        <v>7</v>
      </c>
      <c r="D366" s="25"/>
      <c r="E366" s="18">
        <v>45215</v>
      </c>
      <c r="F366" s="18" t="s">
        <v>364</v>
      </c>
      <c r="G366" s="20" t="s">
        <v>75</v>
      </c>
      <c r="H366" s="19">
        <v>0</v>
      </c>
      <c r="I366" s="20" t="s">
        <v>8</v>
      </c>
      <c r="J366" s="20" t="s">
        <v>7</v>
      </c>
      <c r="K366" s="20" t="s">
        <v>9</v>
      </c>
      <c r="L366" s="20">
        <f t="shared" si="29"/>
        <v>698</v>
      </c>
      <c r="M366" s="4" t="str">
        <f>IF(Table3[[#This Row],[Afrondingsdatum YB]]="N/A","-",Table3[[#This Row],[Afrondingsdatum YB]]-Table3[[#This Row],[StartDatum]])</f>
        <v>-</v>
      </c>
      <c r="N366" s="4"/>
      <c r="O366">
        <f t="shared" si="33"/>
        <v>74</v>
      </c>
      <c r="P366">
        <f t="shared" si="32"/>
        <v>97</v>
      </c>
      <c r="Q366">
        <f t="shared" si="32"/>
        <v>109</v>
      </c>
      <c r="R366">
        <f t="shared" si="32"/>
        <v>105</v>
      </c>
      <c r="S366">
        <f t="shared" si="32"/>
        <v>108</v>
      </c>
      <c r="T366">
        <f t="shared" si="32"/>
        <v>108</v>
      </c>
      <c r="U366">
        <f t="shared" si="32"/>
        <v>97</v>
      </c>
      <c r="V366">
        <f t="shared" si="32"/>
        <v>98</v>
      </c>
      <c r="W366" s="5">
        <f t="shared" si="30"/>
        <v>887</v>
      </c>
      <c r="X366" s="9" t="str">
        <f t="shared" si="31"/>
        <v>a887</v>
      </c>
    </row>
    <row r="367" spans="1:24" x14ac:dyDescent="0.2">
      <c r="A367" s="9" t="s">
        <v>425</v>
      </c>
      <c r="B367" s="9">
        <v>1</v>
      </c>
      <c r="C367" s="22">
        <v>7</v>
      </c>
      <c r="D367" s="25"/>
      <c r="E367" s="23">
        <v>45215</v>
      </c>
      <c r="F367" s="23" t="s">
        <v>363</v>
      </c>
      <c r="G367" s="25" t="s">
        <v>32</v>
      </c>
      <c r="H367" s="24">
        <v>1</v>
      </c>
      <c r="I367" s="25" t="s">
        <v>181</v>
      </c>
      <c r="J367" s="32">
        <v>45209</v>
      </c>
      <c r="K367" s="24">
        <v>0.78</v>
      </c>
      <c r="L367" s="25">
        <f t="shared" si="29"/>
        <v>698</v>
      </c>
      <c r="M367" s="4">
        <f>IF(Table3[[#This Row],[Afrondingsdatum YB]]="N/A","-",Table3[[#This Row],[Afrondingsdatum YB]]-Table3[[#This Row],[StartDatum]])</f>
        <v>45209</v>
      </c>
      <c r="N367" s="4"/>
      <c r="O367">
        <f t="shared" si="33"/>
        <v>106</v>
      </c>
      <c r="P367">
        <f t="shared" si="32"/>
        <v>97</v>
      </c>
      <c r="Q367">
        <f t="shared" si="32"/>
        <v>114</v>
      </c>
      <c r="R367">
        <f t="shared" si="32"/>
        <v>114</v>
      </c>
      <c r="S367">
        <f t="shared" si="32"/>
        <v>111</v>
      </c>
      <c r="T367">
        <f t="shared" si="32"/>
        <v>110</v>
      </c>
      <c r="U367">
        <f t="shared" si="32"/>
        <v>46</v>
      </c>
      <c r="V367">
        <f t="shared" si="32"/>
        <v>118</v>
      </c>
      <c r="W367" s="5">
        <f t="shared" si="30"/>
        <v>910</v>
      </c>
      <c r="X367" s="9" t="str">
        <f t="shared" si="31"/>
        <v>a910</v>
      </c>
    </row>
    <row r="368" spans="1:24" x14ac:dyDescent="0.2">
      <c r="A368" s="9" t="s">
        <v>425</v>
      </c>
      <c r="B368" s="9">
        <v>1</v>
      </c>
      <c r="C368" s="22">
        <v>7</v>
      </c>
      <c r="D368" s="25"/>
      <c r="E368" s="18">
        <v>45215</v>
      </c>
      <c r="F368" s="18" t="s">
        <v>362</v>
      </c>
      <c r="G368" s="20" t="s">
        <v>33</v>
      </c>
      <c r="H368" s="19">
        <v>0.2</v>
      </c>
      <c r="I368" s="20" t="s">
        <v>182</v>
      </c>
      <c r="J368" s="20" t="s">
        <v>7</v>
      </c>
      <c r="K368" s="20" t="s">
        <v>9</v>
      </c>
      <c r="L368" s="20">
        <f t="shared" si="29"/>
        <v>707</v>
      </c>
      <c r="M368" s="4" t="str">
        <f>IF(Table3[[#This Row],[Afrondingsdatum YB]]="N/A","-",Table3[[#This Row],[Afrondingsdatum YB]]-Table3[[#This Row],[StartDatum]])</f>
        <v>-</v>
      </c>
      <c r="N368" s="4"/>
      <c r="O368">
        <f t="shared" si="33"/>
        <v>106</v>
      </c>
      <c r="P368">
        <f t="shared" si="32"/>
        <v>101</v>
      </c>
      <c r="Q368">
        <f t="shared" si="32"/>
        <v>118</v>
      </c>
      <c r="R368">
        <f t="shared" si="32"/>
        <v>111</v>
      </c>
      <c r="S368">
        <f t="shared" si="32"/>
        <v>110</v>
      </c>
      <c r="T368">
        <f t="shared" si="32"/>
        <v>46</v>
      </c>
      <c r="U368">
        <f t="shared" si="32"/>
        <v>115</v>
      </c>
      <c r="V368">
        <f t="shared" si="32"/>
        <v>109</v>
      </c>
      <c r="W368" s="5">
        <f t="shared" si="30"/>
        <v>918</v>
      </c>
      <c r="X368" s="9" t="str">
        <f t="shared" si="31"/>
        <v>e918</v>
      </c>
    </row>
    <row r="369" spans="1:24" x14ac:dyDescent="0.2">
      <c r="A369" s="9" t="s">
        <v>425</v>
      </c>
      <c r="B369" s="9">
        <v>1</v>
      </c>
      <c r="C369" s="22">
        <v>7</v>
      </c>
      <c r="D369" s="25"/>
      <c r="E369" s="23">
        <v>45215</v>
      </c>
      <c r="F369" s="23" t="s">
        <v>362</v>
      </c>
      <c r="G369" s="25" t="s">
        <v>125</v>
      </c>
      <c r="H369" s="24">
        <v>0</v>
      </c>
      <c r="I369" s="25" t="s">
        <v>8</v>
      </c>
      <c r="J369" s="25" t="s">
        <v>7</v>
      </c>
      <c r="K369" s="25" t="s">
        <v>9</v>
      </c>
      <c r="L369" s="25">
        <f t="shared" si="29"/>
        <v>689</v>
      </c>
      <c r="M369" s="4" t="str">
        <f>IF(Table3[[#This Row],[Afrondingsdatum YB]]="N/A","-",Table3[[#This Row],[Afrondingsdatum YB]]-Table3[[#This Row],[StartDatum]])</f>
        <v>-</v>
      </c>
      <c r="N369" s="4"/>
      <c r="O369">
        <f t="shared" si="33"/>
        <v>106</v>
      </c>
      <c r="P369">
        <f t="shared" si="33"/>
        <v>111</v>
      </c>
      <c r="Q369">
        <f t="shared" si="33"/>
        <v>98</v>
      </c>
      <c r="R369">
        <f t="shared" si="33"/>
        <v>46</v>
      </c>
      <c r="S369">
        <f t="shared" si="33"/>
        <v>107</v>
      </c>
      <c r="T369">
        <f t="shared" si="33"/>
        <v>110</v>
      </c>
      <c r="U369">
        <f t="shared" si="33"/>
        <v>111</v>
      </c>
      <c r="V369">
        <f t="shared" si="33"/>
        <v>111</v>
      </c>
      <c r="W369" s="5">
        <f t="shared" si="30"/>
        <v>906</v>
      </c>
      <c r="X369" s="9" t="str">
        <f t="shared" si="31"/>
        <v>o906</v>
      </c>
    </row>
    <row r="370" spans="1:24" x14ac:dyDescent="0.2">
      <c r="A370" s="9" t="s">
        <v>425</v>
      </c>
      <c r="B370" s="9">
        <v>1</v>
      </c>
      <c r="C370" s="22">
        <v>7</v>
      </c>
      <c r="D370" s="25"/>
      <c r="E370" s="18">
        <v>45215</v>
      </c>
      <c r="F370" s="18" t="s">
        <v>362</v>
      </c>
      <c r="G370" s="20" t="s">
        <v>34</v>
      </c>
      <c r="H370" s="19">
        <v>0</v>
      </c>
      <c r="I370" s="20" t="s">
        <v>8</v>
      </c>
      <c r="J370" s="20" t="s">
        <v>7</v>
      </c>
      <c r="K370" s="20" t="s">
        <v>9</v>
      </c>
      <c r="L370" s="20">
        <f t="shared" si="29"/>
        <v>676</v>
      </c>
      <c r="M370" s="4" t="str">
        <f>IF(Table3[[#This Row],[Afrondingsdatum YB]]="N/A","-",Table3[[#This Row],[Afrondingsdatum YB]]-Table3[[#This Row],[StartDatum]])</f>
        <v>-</v>
      </c>
      <c r="N370" s="4"/>
      <c r="O370">
        <f t="shared" si="33"/>
        <v>106</v>
      </c>
      <c r="P370">
        <f t="shared" si="33"/>
        <v>111</v>
      </c>
      <c r="Q370">
        <f t="shared" si="33"/>
        <v>99</v>
      </c>
      <c r="R370">
        <f t="shared" si="33"/>
        <v>104</v>
      </c>
      <c r="S370">
        <f t="shared" si="33"/>
        <v>101</v>
      </c>
      <c r="T370">
        <f t="shared" si="33"/>
        <v>109</v>
      </c>
      <c r="U370">
        <f t="shared" si="33"/>
        <v>46</v>
      </c>
      <c r="V370">
        <f t="shared" si="33"/>
        <v>104</v>
      </c>
      <c r="W370" s="5">
        <f t="shared" si="30"/>
        <v>845</v>
      </c>
      <c r="X370" s="9" t="str">
        <f t="shared" si="31"/>
        <v>o845</v>
      </c>
    </row>
    <row r="371" spans="1:24" x14ac:dyDescent="0.2">
      <c r="A371" s="9" t="s">
        <v>425</v>
      </c>
      <c r="B371" s="9">
        <v>1</v>
      </c>
      <c r="C371" s="22">
        <v>7</v>
      </c>
      <c r="D371" s="25"/>
      <c r="E371" s="23">
        <v>45215</v>
      </c>
      <c r="F371" s="23" t="s">
        <v>362</v>
      </c>
      <c r="G371" s="25" t="s">
        <v>35</v>
      </c>
      <c r="H371" s="24">
        <v>7.0000000000000007E-2</v>
      </c>
      <c r="I371" s="25" t="s">
        <v>117</v>
      </c>
      <c r="J371" s="25" t="s">
        <v>7</v>
      </c>
      <c r="K371" s="25" t="s">
        <v>9</v>
      </c>
      <c r="L371" s="25">
        <f t="shared" si="29"/>
        <v>704</v>
      </c>
      <c r="M371" s="4" t="str">
        <f>IF(Table3[[#This Row],[Afrondingsdatum YB]]="N/A","-",Table3[[#This Row],[Afrondingsdatum YB]]-Table3[[#This Row],[StartDatum]])</f>
        <v>-</v>
      </c>
      <c r="N371" s="4"/>
      <c r="O371">
        <f t="shared" si="33"/>
        <v>106</v>
      </c>
      <c r="P371">
        <f t="shared" si="33"/>
        <v>111</v>
      </c>
      <c r="Q371">
        <f t="shared" si="33"/>
        <v>114</v>
      </c>
      <c r="R371">
        <f t="shared" si="33"/>
        <v>105</v>
      </c>
      <c r="S371">
        <f t="shared" si="33"/>
        <v>115</v>
      </c>
      <c r="T371">
        <f t="shared" si="33"/>
        <v>46</v>
      </c>
      <c r="U371">
        <f t="shared" si="33"/>
        <v>107</v>
      </c>
      <c r="V371">
        <f t="shared" si="33"/>
        <v>111</v>
      </c>
      <c r="W371" s="5">
        <f t="shared" si="30"/>
        <v>909</v>
      </c>
      <c r="X371" s="9" t="str">
        <f t="shared" si="31"/>
        <v>o909</v>
      </c>
    </row>
    <row r="372" spans="1:24" x14ac:dyDescent="0.2">
      <c r="A372" s="9" t="s">
        <v>425</v>
      </c>
      <c r="B372" s="9">
        <v>1</v>
      </c>
      <c r="C372" s="22">
        <v>7</v>
      </c>
      <c r="D372" s="25"/>
      <c r="E372" s="18">
        <v>45215</v>
      </c>
      <c r="F372" s="18" t="s">
        <v>364</v>
      </c>
      <c r="G372" s="20" t="s">
        <v>36</v>
      </c>
      <c r="H372" s="19">
        <v>0.22</v>
      </c>
      <c r="I372" s="20" t="s">
        <v>147</v>
      </c>
      <c r="J372" s="20" t="s">
        <v>7</v>
      </c>
      <c r="K372" s="20" t="s">
        <v>9</v>
      </c>
      <c r="L372" s="20">
        <f t="shared" si="29"/>
        <v>657</v>
      </c>
      <c r="M372" s="4" t="str">
        <f>IF(Table3[[#This Row],[Afrondingsdatum YB]]="N/A","-",Table3[[#This Row],[Afrondingsdatum YB]]-Table3[[#This Row],[StartDatum]])</f>
        <v>-</v>
      </c>
      <c r="N372" s="4"/>
      <c r="O372">
        <f t="shared" si="33"/>
        <v>74</v>
      </c>
      <c r="P372">
        <f t="shared" si="33"/>
        <v>117</v>
      </c>
      <c r="Q372">
        <f t="shared" si="33"/>
        <v>108</v>
      </c>
      <c r="R372">
        <f t="shared" si="33"/>
        <v>105</v>
      </c>
      <c r="S372">
        <f t="shared" si="33"/>
        <v>97</v>
      </c>
      <c r="T372">
        <f t="shared" si="33"/>
        <v>110</v>
      </c>
      <c r="U372">
        <f t="shared" si="33"/>
        <v>46</v>
      </c>
      <c r="V372">
        <f t="shared" si="33"/>
        <v>68</v>
      </c>
      <c r="W372" s="5">
        <f t="shared" si="30"/>
        <v>804</v>
      </c>
      <c r="X372" s="9" t="str">
        <f t="shared" si="31"/>
        <v>u804</v>
      </c>
    </row>
    <row r="373" spans="1:24" x14ac:dyDescent="0.2">
      <c r="A373" s="9" t="s">
        <v>425</v>
      </c>
      <c r="B373" s="9">
        <v>1</v>
      </c>
      <c r="C373" s="22">
        <v>7</v>
      </c>
      <c r="D373" s="25"/>
      <c r="E373" s="23">
        <v>45215</v>
      </c>
      <c r="F373" s="23" t="s">
        <v>363</v>
      </c>
      <c r="G373" s="25" t="s">
        <v>37</v>
      </c>
      <c r="H373" s="24">
        <v>0.13</v>
      </c>
      <c r="I373" s="25" t="s">
        <v>183</v>
      </c>
      <c r="J373" s="25" t="s">
        <v>7</v>
      </c>
      <c r="K373" s="25" t="s">
        <v>9</v>
      </c>
      <c r="L373" s="25">
        <f t="shared" si="29"/>
        <v>689</v>
      </c>
      <c r="M373" s="4" t="str">
        <f>IF(Table3[[#This Row],[Afrondingsdatum YB]]="N/A","-",Table3[[#This Row],[Afrondingsdatum YB]]-Table3[[#This Row],[StartDatum]])</f>
        <v>-</v>
      </c>
      <c r="N373" s="4"/>
      <c r="O373">
        <f t="shared" si="33"/>
        <v>106</v>
      </c>
      <c r="P373">
        <f t="shared" si="33"/>
        <v>117</v>
      </c>
      <c r="Q373">
        <f t="shared" si="33"/>
        <v>108</v>
      </c>
      <c r="R373">
        <f t="shared" si="33"/>
        <v>105</v>
      </c>
      <c r="S373">
        <f t="shared" si="33"/>
        <v>97</v>
      </c>
      <c r="T373">
        <f t="shared" si="33"/>
        <v>110</v>
      </c>
      <c r="U373">
        <f t="shared" si="33"/>
        <v>46</v>
      </c>
      <c r="V373">
        <f t="shared" si="33"/>
        <v>118</v>
      </c>
      <c r="W373" s="5">
        <f t="shared" si="30"/>
        <v>886</v>
      </c>
      <c r="X373" s="9" t="str">
        <f t="shared" si="31"/>
        <v>u886</v>
      </c>
    </row>
    <row r="374" spans="1:24" x14ac:dyDescent="0.2">
      <c r="A374" s="9" t="s">
        <v>425</v>
      </c>
      <c r="B374" s="9">
        <v>1</v>
      </c>
      <c r="C374" s="22">
        <v>7</v>
      </c>
      <c r="D374" s="25"/>
      <c r="E374" s="18">
        <v>45215</v>
      </c>
      <c r="F374" s="18" t="s">
        <v>363</v>
      </c>
      <c r="G374" s="20" t="s">
        <v>38</v>
      </c>
      <c r="H374" s="19">
        <v>0.47</v>
      </c>
      <c r="I374" s="20" t="s">
        <v>87</v>
      </c>
      <c r="J374" s="20" t="s">
        <v>7</v>
      </c>
      <c r="K374" s="20" t="s">
        <v>9</v>
      </c>
      <c r="L374" s="20">
        <f t="shared" si="29"/>
        <v>671</v>
      </c>
      <c r="M374" s="4" t="str">
        <f>IF(Table3[[#This Row],[Afrondingsdatum YB]]="N/A","-",Table3[[#This Row],[Afrondingsdatum YB]]-Table3[[#This Row],[StartDatum]])</f>
        <v>-</v>
      </c>
      <c r="N374" s="4"/>
      <c r="O374">
        <f t="shared" si="33"/>
        <v>107</v>
      </c>
      <c r="P374">
        <f t="shared" si="33"/>
        <v>97</v>
      </c>
      <c r="Q374">
        <f t="shared" si="33"/>
        <v>105</v>
      </c>
      <c r="R374">
        <f t="shared" si="33"/>
        <v>46</v>
      </c>
      <c r="S374">
        <f t="shared" si="33"/>
        <v>104</v>
      </c>
      <c r="T374">
        <f t="shared" si="33"/>
        <v>97</v>
      </c>
      <c r="U374">
        <f t="shared" si="33"/>
        <v>115</v>
      </c>
      <c r="V374">
        <f t="shared" si="33"/>
        <v>115</v>
      </c>
      <c r="W374" s="5">
        <f t="shared" si="30"/>
        <v>913</v>
      </c>
      <c r="X374" s="9" t="str">
        <f t="shared" si="31"/>
        <v>a913</v>
      </c>
    </row>
    <row r="375" spans="1:24" x14ac:dyDescent="0.2">
      <c r="A375" s="9" t="s">
        <v>425</v>
      </c>
      <c r="B375" s="9">
        <v>1</v>
      </c>
      <c r="C375" s="22">
        <v>7</v>
      </c>
      <c r="D375" s="25"/>
      <c r="E375" s="23">
        <v>45215</v>
      </c>
      <c r="F375" s="23" t="s">
        <v>362</v>
      </c>
      <c r="G375" s="25" t="s">
        <v>39</v>
      </c>
      <c r="H375" s="24">
        <v>0.53</v>
      </c>
      <c r="I375" s="25" t="s">
        <v>184</v>
      </c>
      <c r="J375" s="25" t="s">
        <v>7</v>
      </c>
      <c r="K375" s="25" t="s">
        <v>9</v>
      </c>
      <c r="L375" s="25">
        <f t="shared" si="29"/>
        <v>673</v>
      </c>
      <c r="M375" s="4" t="str">
        <f>IF(Table3[[#This Row],[Afrondingsdatum YB]]="N/A","-",Table3[[#This Row],[Afrondingsdatum YB]]-Table3[[#This Row],[StartDatum]])</f>
        <v>-</v>
      </c>
      <c r="N375" s="4"/>
      <c r="O375">
        <f t="shared" si="33"/>
        <v>107</v>
      </c>
      <c r="P375">
        <f t="shared" si="33"/>
        <v>101</v>
      </c>
      <c r="Q375">
        <f t="shared" si="33"/>
        <v>110</v>
      </c>
      <c r="R375">
        <f t="shared" si="33"/>
        <v>97</v>
      </c>
      <c r="S375">
        <f t="shared" si="33"/>
        <v>110</v>
      </c>
      <c r="T375">
        <f t="shared" si="33"/>
        <v>46</v>
      </c>
      <c r="U375">
        <f t="shared" si="33"/>
        <v>102</v>
      </c>
      <c r="V375">
        <f t="shared" si="33"/>
        <v>108</v>
      </c>
      <c r="W375" s="5">
        <f t="shared" si="30"/>
        <v>878</v>
      </c>
      <c r="X375" s="9" t="str">
        <f t="shared" si="31"/>
        <v>e878</v>
      </c>
    </row>
    <row r="376" spans="1:24" x14ac:dyDescent="0.2">
      <c r="A376" s="9" t="s">
        <v>425</v>
      </c>
      <c r="B376" s="9">
        <v>1</v>
      </c>
      <c r="C376" s="22">
        <v>7</v>
      </c>
      <c r="D376" s="25"/>
      <c r="E376" s="18">
        <v>45215</v>
      </c>
      <c r="F376" s="18" t="s">
        <v>363</v>
      </c>
      <c r="G376" s="20" t="s">
        <v>40</v>
      </c>
      <c r="H376" s="19">
        <v>0.13</v>
      </c>
      <c r="I376" s="20" t="s">
        <v>110</v>
      </c>
      <c r="J376" s="20" t="s">
        <v>7</v>
      </c>
      <c r="K376" s="20" t="s">
        <v>9</v>
      </c>
      <c r="L376" s="20">
        <f t="shared" si="29"/>
        <v>685</v>
      </c>
      <c r="M376" s="4" t="str">
        <f>IF(Table3[[#This Row],[Afrondingsdatum YB]]="N/A","-",Table3[[#This Row],[Afrondingsdatum YB]]-Table3[[#This Row],[StartDatum]])</f>
        <v>-</v>
      </c>
      <c r="N376" s="4"/>
      <c r="O376">
        <f t="shared" si="33"/>
        <v>107</v>
      </c>
      <c r="P376">
        <f t="shared" si="33"/>
        <v>101</v>
      </c>
      <c r="Q376">
        <f t="shared" si="33"/>
        <v>118</v>
      </c>
      <c r="R376">
        <f t="shared" si="33"/>
        <v>105</v>
      </c>
      <c r="S376">
        <f t="shared" si="33"/>
        <v>110</v>
      </c>
      <c r="T376">
        <f t="shared" si="33"/>
        <v>46</v>
      </c>
      <c r="U376">
        <f t="shared" si="33"/>
        <v>98</v>
      </c>
      <c r="V376">
        <f t="shared" si="33"/>
        <v>97</v>
      </c>
      <c r="W376" s="5">
        <f t="shared" si="30"/>
        <v>889</v>
      </c>
      <c r="X376" s="9" t="str">
        <f t="shared" si="31"/>
        <v>e889</v>
      </c>
    </row>
    <row r="377" spans="1:24" x14ac:dyDescent="0.2">
      <c r="A377" s="9" t="s">
        <v>425</v>
      </c>
      <c r="B377" s="9">
        <v>1</v>
      </c>
      <c r="C377" s="22">
        <v>7</v>
      </c>
      <c r="D377" s="25"/>
      <c r="E377" s="23">
        <v>45215</v>
      </c>
      <c r="F377" s="23" t="s">
        <v>363</v>
      </c>
      <c r="G377" s="25" t="s">
        <v>41</v>
      </c>
      <c r="H377" s="24">
        <v>0.2</v>
      </c>
      <c r="I377" s="25" t="s">
        <v>185</v>
      </c>
      <c r="J377" s="25" t="s">
        <v>7</v>
      </c>
      <c r="K377" s="25" t="s">
        <v>9</v>
      </c>
      <c r="L377" s="25">
        <f t="shared" si="29"/>
        <v>694</v>
      </c>
      <c r="M377" s="4" t="str">
        <f>IF(Table3[[#This Row],[Afrondingsdatum YB]]="N/A","-",Table3[[#This Row],[Afrondingsdatum YB]]-Table3[[#This Row],[StartDatum]])</f>
        <v>-</v>
      </c>
      <c r="N377" s="4"/>
      <c r="O377">
        <f t="shared" si="33"/>
        <v>107</v>
      </c>
      <c r="P377">
        <f t="shared" si="33"/>
        <v>106</v>
      </c>
      <c r="Q377">
        <f t="shared" si="33"/>
        <v>101</v>
      </c>
      <c r="R377">
        <f t="shared" si="33"/>
        <v>108</v>
      </c>
      <c r="S377">
        <f t="shared" si="33"/>
        <v>108</v>
      </c>
      <c r="T377">
        <f t="shared" si="33"/>
        <v>46</v>
      </c>
      <c r="U377">
        <f t="shared" si="33"/>
        <v>118</v>
      </c>
      <c r="V377">
        <f t="shared" si="33"/>
        <v>97</v>
      </c>
      <c r="W377" s="5">
        <f t="shared" si="30"/>
        <v>859</v>
      </c>
      <c r="X377" s="9" t="str">
        <f t="shared" si="31"/>
        <v>j859</v>
      </c>
    </row>
    <row r="378" spans="1:24" x14ac:dyDescent="0.2">
      <c r="A378" s="9" t="s">
        <v>425</v>
      </c>
      <c r="B378" s="9">
        <v>1</v>
      </c>
      <c r="C378" s="22">
        <v>7</v>
      </c>
      <c r="D378" s="25"/>
      <c r="E378" s="18">
        <v>45215</v>
      </c>
      <c r="F378" s="18" t="s">
        <v>362</v>
      </c>
      <c r="G378" s="20" t="s">
        <v>79</v>
      </c>
      <c r="H378" s="19">
        <v>1</v>
      </c>
      <c r="I378" s="20" t="s">
        <v>72</v>
      </c>
      <c r="J378" s="34">
        <v>45214</v>
      </c>
      <c r="K378" s="19">
        <v>0.7</v>
      </c>
      <c r="L378" s="20">
        <f t="shared" si="29"/>
        <v>679</v>
      </c>
      <c r="M378" s="4">
        <f>IF(Table3[[#This Row],[Afrondingsdatum YB]]="N/A","-",Table3[[#This Row],[Afrondingsdatum YB]]-Table3[[#This Row],[StartDatum]])</f>
        <v>45214</v>
      </c>
      <c r="N378" s="4"/>
      <c r="O378">
        <f t="shared" si="33"/>
        <v>108</v>
      </c>
      <c r="P378">
        <f t="shared" si="33"/>
        <v>97</v>
      </c>
      <c r="Q378">
        <f t="shared" si="33"/>
        <v>109</v>
      </c>
      <c r="R378">
        <f t="shared" si="33"/>
        <v>121</v>
      </c>
      <c r="S378">
        <f t="shared" si="33"/>
        <v>97</v>
      </c>
      <c r="T378">
        <f t="shared" si="33"/>
        <v>101</v>
      </c>
      <c r="U378">
        <f t="shared" si="33"/>
        <v>46</v>
      </c>
      <c r="V378">
        <f t="shared" si="33"/>
        <v>101</v>
      </c>
      <c r="W378" s="5">
        <f t="shared" si="30"/>
        <v>859</v>
      </c>
      <c r="X378" s="9" t="str">
        <f t="shared" si="31"/>
        <v>a859</v>
      </c>
    </row>
    <row r="379" spans="1:24" x14ac:dyDescent="0.2">
      <c r="A379" s="9" t="s">
        <v>425</v>
      </c>
      <c r="B379" s="9">
        <v>1</v>
      </c>
      <c r="C379" s="22">
        <v>7</v>
      </c>
      <c r="D379" s="25"/>
      <c r="E379" s="23">
        <v>45215</v>
      </c>
      <c r="F379" s="23" t="s">
        <v>363</v>
      </c>
      <c r="G379" s="25" t="s">
        <v>42</v>
      </c>
      <c r="H379" s="24">
        <v>0.03</v>
      </c>
      <c r="I379" s="25" t="s">
        <v>130</v>
      </c>
      <c r="J379" s="25" t="s">
        <v>7</v>
      </c>
      <c r="K379" s="25" t="s">
        <v>9</v>
      </c>
      <c r="L379" s="25">
        <f t="shared" si="29"/>
        <v>687</v>
      </c>
      <c r="M379" s="4" t="str">
        <f>IF(Table3[[#This Row],[Afrondingsdatum YB]]="N/A","-",Table3[[#This Row],[Afrondingsdatum YB]]-Table3[[#This Row],[StartDatum]])</f>
        <v>-</v>
      </c>
      <c r="N379" s="4"/>
      <c r="O379">
        <f t="shared" si="33"/>
        <v>108</v>
      </c>
      <c r="P379">
        <f t="shared" si="33"/>
        <v>105</v>
      </c>
      <c r="Q379">
        <f t="shared" si="33"/>
        <v>110</v>
      </c>
      <c r="R379">
        <f t="shared" si="33"/>
        <v>100</v>
      </c>
      <c r="S379">
        <f t="shared" si="33"/>
        <v>121</v>
      </c>
      <c r="T379">
        <f t="shared" si="33"/>
        <v>46</v>
      </c>
      <c r="U379">
        <f t="shared" si="33"/>
        <v>97</v>
      </c>
      <c r="V379">
        <f t="shared" si="33"/>
        <v>110</v>
      </c>
      <c r="W379" s="5">
        <f t="shared" si="30"/>
        <v>890</v>
      </c>
      <c r="X379" s="9" t="str">
        <f t="shared" si="31"/>
        <v>i890</v>
      </c>
    </row>
    <row r="380" spans="1:24" x14ac:dyDescent="0.2">
      <c r="A380" s="9" t="s">
        <v>425</v>
      </c>
      <c r="B380" s="9">
        <v>1</v>
      </c>
      <c r="C380" s="22">
        <v>7</v>
      </c>
      <c r="D380" s="25"/>
      <c r="E380" s="18">
        <v>45215</v>
      </c>
      <c r="F380" s="18" t="s">
        <v>363</v>
      </c>
      <c r="G380" s="20" t="s">
        <v>43</v>
      </c>
      <c r="H380" s="19">
        <v>0.3</v>
      </c>
      <c r="I380" s="20" t="s">
        <v>186</v>
      </c>
      <c r="J380" s="20" t="s">
        <v>7</v>
      </c>
      <c r="K380" s="20" t="s">
        <v>9</v>
      </c>
      <c r="L380" s="20">
        <f t="shared" si="29"/>
        <v>689</v>
      </c>
      <c r="M380" s="4" t="str">
        <f>IF(Table3[[#This Row],[Afrondingsdatum YB]]="N/A","-",Table3[[#This Row],[Afrondingsdatum YB]]-Table3[[#This Row],[StartDatum]])</f>
        <v>-</v>
      </c>
      <c r="N380" s="4"/>
      <c r="O380">
        <f t="shared" si="33"/>
        <v>108</v>
      </c>
      <c r="P380">
        <f t="shared" si="33"/>
        <v>117</v>
      </c>
      <c r="Q380">
        <f t="shared" si="33"/>
        <v>99</v>
      </c>
      <c r="R380">
        <f t="shared" si="33"/>
        <v>46</v>
      </c>
      <c r="S380">
        <f t="shared" si="33"/>
        <v>98</v>
      </c>
      <c r="T380">
        <f t="shared" si="33"/>
        <v>111</v>
      </c>
      <c r="U380">
        <f t="shared" si="33"/>
        <v>110</v>
      </c>
      <c r="V380">
        <f t="shared" si="33"/>
        <v>100</v>
      </c>
      <c r="W380" s="5">
        <f t="shared" si="30"/>
        <v>894</v>
      </c>
      <c r="X380" s="9" t="str">
        <f t="shared" si="31"/>
        <v>u894</v>
      </c>
    </row>
    <row r="381" spans="1:24" x14ac:dyDescent="0.2">
      <c r="A381" s="9" t="s">
        <v>425</v>
      </c>
      <c r="B381" s="9">
        <v>1</v>
      </c>
      <c r="C381" s="22">
        <v>7</v>
      </c>
      <c r="D381" s="25"/>
      <c r="E381" s="23">
        <v>45215</v>
      </c>
      <c r="F381" s="23" t="s">
        <v>364</v>
      </c>
      <c r="G381" s="25" t="s">
        <v>44</v>
      </c>
      <c r="H381" s="24">
        <v>0.97</v>
      </c>
      <c r="I381" s="25" t="s">
        <v>149</v>
      </c>
      <c r="J381" s="25" t="s">
        <v>7</v>
      </c>
      <c r="K381" s="25" t="s">
        <v>9</v>
      </c>
      <c r="L381" s="25">
        <f t="shared" si="29"/>
        <v>680</v>
      </c>
      <c r="M381" s="4" t="str">
        <f>IF(Table3[[#This Row],[Afrondingsdatum YB]]="N/A","-",Table3[[#This Row],[Afrondingsdatum YB]]-Table3[[#This Row],[StartDatum]])</f>
        <v>-</v>
      </c>
      <c r="N381" s="4"/>
      <c r="O381">
        <f t="shared" si="33"/>
        <v>108</v>
      </c>
      <c r="P381">
        <f t="shared" si="33"/>
        <v>117</v>
      </c>
      <c r="Q381">
        <f t="shared" si="33"/>
        <v>99</v>
      </c>
      <c r="R381">
        <f t="shared" si="33"/>
        <v>97</v>
      </c>
      <c r="S381">
        <f t="shared" si="33"/>
        <v>115</v>
      </c>
      <c r="T381">
        <f t="shared" si="33"/>
        <v>46</v>
      </c>
      <c r="U381">
        <f t="shared" si="33"/>
        <v>98</v>
      </c>
      <c r="V381">
        <f t="shared" si="33"/>
        <v>114</v>
      </c>
      <c r="W381" s="5">
        <f t="shared" si="30"/>
        <v>861</v>
      </c>
      <c r="X381" s="9" t="str">
        <f t="shared" si="31"/>
        <v>u861</v>
      </c>
    </row>
    <row r="382" spans="1:24" x14ac:dyDescent="0.2">
      <c r="A382" s="9" t="s">
        <v>425</v>
      </c>
      <c r="B382" s="9">
        <v>1</v>
      </c>
      <c r="C382" s="22">
        <v>7</v>
      </c>
      <c r="D382" s="25"/>
      <c r="E382" s="18">
        <v>45215</v>
      </c>
      <c r="F382" s="18" t="s">
        <v>363</v>
      </c>
      <c r="G382" s="20" t="s">
        <v>81</v>
      </c>
      <c r="H382" s="19">
        <v>0.04</v>
      </c>
      <c r="I382" s="20" t="s">
        <v>78</v>
      </c>
      <c r="J382" s="20" t="s">
        <v>7</v>
      </c>
      <c r="K382" s="20" t="s">
        <v>9</v>
      </c>
      <c r="L382" s="20">
        <f t="shared" si="29"/>
        <v>668</v>
      </c>
      <c r="M382" s="4" t="str">
        <f>IF(Table3[[#This Row],[Afrondingsdatum YB]]="N/A","-",Table3[[#This Row],[Afrondingsdatum YB]]-Table3[[#This Row],[StartDatum]])</f>
        <v>-</v>
      </c>
      <c r="N382" s="4"/>
      <c r="O382">
        <f t="shared" si="33"/>
        <v>76</v>
      </c>
      <c r="P382">
        <f t="shared" si="33"/>
        <v>117</v>
      </c>
      <c r="Q382">
        <f t="shared" si="33"/>
        <v>99</v>
      </c>
      <c r="R382">
        <f t="shared" si="33"/>
        <v>97</v>
      </c>
      <c r="S382">
        <f t="shared" si="33"/>
        <v>115</v>
      </c>
      <c r="T382">
        <f t="shared" si="33"/>
        <v>46</v>
      </c>
      <c r="U382">
        <f t="shared" si="33"/>
        <v>118</v>
      </c>
      <c r="V382">
        <f t="shared" si="33"/>
        <v>97</v>
      </c>
      <c r="W382" s="5">
        <f t="shared" si="30"/>
        <v>832</v>
      </c>
      <c r="X382" s="9" t="str">
        <f t="shared" si="31"/>
        <v>u832</v>
      </c>
    </row>
    <row r="383" spans="1:24" x14ac:dyDescent="0.2">
      <c r="A383" s="9" t="s">
        <v>425</v>
      </c>
      <c r="B383" s="9">
        <v>1</v>
      </c>
      <c r="C383" s="22">
        <v>7</v>
      </c>
      <c r="D383" s="25"/>
      <c r="E383" s="23">
        <v>45215</v>
      </c>
      <c r="F383" s="23" t="s">
        <v>364</v>
      </c>
      <c r="G383" s="25" t="s">
        <v>45</v>
      </c>
      <c r="H383" s="24">
        <v>0.54</v>
      </c>
      <c r="I383" s="25" t="s">
        <v>187</v>
      </c>
      <c r="J383" s="25" t="s">
        <v>7</v>
      </c>
      <c r="K383" s="25" t="s">
        <v>9</v>
      </c>
      <c r="L383" s="25">
        <f t="shared" si="29"/>
        <v>757</v>
      </c>
      <c r="M383" s="4" t="str">
        <f>IF(Table3[[#This Row],[Afrondingsdatum YB]]="N/A","-",Table3[[#This Row],[Afrondingsdatum YB]]-Table3[[#This Row],[StartDatum]])</f>
        <v>-</v>
      </c>
      <c r="N383" s="4"/>
      <c r="O383">
        <f t="shared" si="33"/>
        <v>109</v>
      </c>
      <c r="P383">
        <f t="shared" si="33"/>
        <v>97</v>
      </c>
      <c r="Q383">
        <f t="shared" si="33"/>
        <v>114</v>
      </c>
      <c r="R383">
        <f t="shared" si="33"/>
        <v>116</v>
      </c>
      <c r="S383">
        <f t="shared" si="33"/>
        <v>105</v>
      </c>
      <c r="T383">
        <f t="shared" si="33"/>
        <v>106</v>
      </c>
      <c r="U383">
        <f t="shared" si="33"/>
        <v>110</v>
      </c>
      <c r="V383">
        <f t="shared" si="33"/>
        <v>46</v>
      </c>
      <c r="W383" s="5">
        <f t="shared" si="30"/>
        <v>896</v>
      </c>
      <c r="X383" s="9" t="str">
        <f t="shared" si="31"/>
        <v>a896</v>
      </c>
    </row>
    <row r="384" spans="1:24" x14ac:dyDescent="0.2">
      <c r="A384" s="9" t="s">
        <v>425</v>
      </c>
      <c r="B384" s="9">
        <v>1</v>
      </c>
      <c r="C384" s="22">
        <v>7</v>
      </c>
      <c r="D384" s="25"/>
      <c r="E384" s="18">
        <v>45215</v>
      </c>
      <c r="F384" s="18" t="s">
        <v>364</v>
      </c>
      <c r="G384" s="20" t="s">
        <v>46</v>
      </c>
      <c r="H384" s="19">
        <v>0.99</v>
      </c>
      <c r="I384" s="20" t="s">
        <v>188</v>
      </c>
      <c r="J384" s="20" t="s">
        <v>7</v>
      </c>
      <c r="K384" s="20" t="s">
        <v>9</v>
      </c>
      <c r="L384" s="20">
        <f t="shared" si="29"/>
        <v>682</v>
      </c>
      <c r="M384" s="4" t="str">
        <f>IF(Table3[[#This Row],[Afrondingsdatum YB]]="N/A","-",Table3[[#This Row],[Afrondingsdatum YB]]-Table3[[#This Row],[StartDatum]])</f>
        <v>-</v>
      </c>
      <c r="N384" s="4"/>
      <c r="O384">
        <f t="shared" si="33"/>
        <v>109</v>
      </c>
      <c r="P384">
        <f t="shared" si="33"/>
        <v>97</v>
      </c>
      <c r="Q384">
        <f t="shared" si="33"/>
        <v>114</v>
      </c>
      <c r="R384">
        <f t="shared" si="33"/>
        <v>119</v>
      </c>
      <c r="S384">
        <f t="shared" si="33"/>
        <v>97</v>
      </c>
      <c r="T384">
        <f t="shared" si="33"/>
        <v>46</v>
      </c>
      <c r="U384">
        <f t="shared" si="33"/>
        <v>100</v>
      </c>
      <c r="V384">
        <f t="shared" si="33"/>
        <v>97</v>
      </c>
      <c r="W384" s="5">
        <f t="shared" si="30"/>
        <v>869</v>
      </c>
      <c r="X384" s="9" t="str">
        <f t="shared" si="31"/>
        <v>a869</v>
      </c>
    </row>
    <row r="385" spans="1:24" x14ac:dyDescent="0.2">
      <c r="A385" s="9" t="s">
        <v>425</v>
      </c>
      <c r="B385" s="9">
        <v>1</v>
      </c>
      <c r="C385" s="22">
        <v>7</v>
      </c>
      <c r="D385" s="25"/>
      <c r="E385" s="23">
        <v>45215</v>
      </c>
      <c r="F385" s="23" t="s">
        <v>364</v>
      </c>
      <c r="G385" s="25" t="s">
        <v>47</v>
      </c>
      <c r="H385" s="24">
        <v>0</v>
      </c>
      <c r="I385" s="25" t="s">
        <v>8</v>
      </c>
      <c r="J385" s="25" t="s">
        <v>7</v>
      </c>
      <c r="K385" s="25" t="s">
        <v>9</v>
      </c>
      <c r="L385" s="25">
        <f t="shared" si="29"/>
        <v>673</v>
      </c>
      <c r="M385" s="4" t="str">
        <f>IF(Table3[[#This Row],[Afrondingsdatum YB]]="N/A","-",Table3[[#This Row],[Afrondingsdatum YB]]-Table3[[#This Row],[StartDatum]])</f>
        <v>-</v>
      </c>
      <c r="N385" s="4"/>
      <c r="O385">
        <f t="shared" si="33"/>
        <v>109</v>
      </c>
      <c r="P385">
        <f t="shared" si="33"/>
        <v>101</v>
      </c>
      <c r="Q385">
        <f t="shared" si="33"/>
        <v>101</v>
      </c>
      <c r="R385">
        <f t="shared" si="33"/>
        <v>115</v>
      </c>
      <c r="S385">
        <f t="shared" si="33"/>
        <v>46</v>
      </c>
      <c r="T385">
        <f t="shared" si="33"/>
        <v>100</v>
      </c>
      <c r="U385">
        <f t="shared" si="33"/>
        <v>101</v>
      </c>
      <c r="V385">
        <f t="shared" si="33"/>
        <v>46</v>
      </c>
      <c r="W385" s="5">
        <f t="shared" si="30"/>
        <v>784</v>
      </c>
      <c r="X385" s="9" t="str">
        <f t="shared" si="31"/>
        <v>e784</v>
      </c>
    </row>
    <row r="386" spans="1:24" x14ac:dyDescent="0.2">
      <c r="A386" s="9" t="s">
        <v>425</v>
      </c>
      <c r="B386" s="9">
        <v>1</v>
      </c>
      <c r="C386" s="22">
        <v>7</v>
      </c>
      <c r="D386" s="25"/>
      <c r="E386" s="18">
        <v>45215</v>
      </c>
      <c r="F386" s="18" t="s">
        <v>363</v>
      </c>
      <c r="G386" s="20" t="s">
        <v>48</v>
      </c>
      <c r="H386" s="19">
        <v>1</v>
      </c>
      <c r="I386" s="20" t="s">
        <v>189</v>
      </c>
      <c r="J386" s="20" t="s">
        <v>7</v>
      </c>
      <c r="K386" s="20" t="s">
        <v>9</v>
      </c>
      <c r="L386" s="20">
        <f t="shared" ref="L386:L449" si="34">SUM(O386:U386)</f>
        <v>675</v>
      </c>
      <c r="M386" s="4" t="str">
        <f>IF(Table3[[#This Row],[Afrondingsdatum YB]]="N/A","-",Table3[[#This Row],[Afrondingsdatum YB]]-Table3[[#This Row],[StartDatum]])</f>
        <v>-</v>
      </c>
      <c r="N386" s="4"/>
      <c r="O386">
        <f t="shared" si="33"/>
        <v>109</v>
      </c>
      <c r="P386">
        <f t="shared" si="33"/>
        <v>105</v>
      </c>
      <c r="Q386">
        <f t="shared" si="33"/>
        <v>108</v>
      </c>
      <c r="R386">
        <f t="shared" si="33"/>
        <v>97</v>
      </c>
      <c r="S386">
        <f t="shared" si="33"/>
        <v>110</v>
      </c>
      <c r="T386">
        <f t="shared" si="33"/>
        <v>46</v>
      </c>
      <c r="U386">
        <f t="shared" si="33"/>
        <v>100</v>
      </c>
      <c r="V386">
        <f t="shared" si="33"/>
        <v>105</v>
      </c>
      <c r="W386" s="5">
        <f t="shared" si="30"/>
        <v>871</v>
      </c>
      <c r="X386" s="9" t="str">
        <f t="shared" si="31"/>
        <v>i871</v>
      </c>
    </row>
    <row r="387" spans="1:24" x14ac:dyDescent="0.2">
      <c r="A387" s="9" t="s">
        <v>425</v>
      </c>
      <c r="B387" s="9">
        <v>1</v>
      </c>
      <c r="C387" s="22">
        <v>7</v>
      </c>
      <c r="D387" s="25"/>
      <c r="E387" s="23">
        <v>45215</v>
      </c>
      <c r="F387" s="23" t="s">
        <v>364</v>
      </c>
      <c r="G387" s="25" t="s">
        <v>49</v>
      </c>
      <c r="H387" s="24">
        <v>0.99</v>
      </c>
      <c r="I387" s="25" t="s">
        <v>190</v>
      </c>
      <c r="J387" s="25" t="s">
        <v>7</v>
      </c>
      <c r="K387" s="25" t="s">
        <v>9</v>
      </c>
      <c r="L387" s="25">
        <f t="shared" si="34"/>
        <v>690</v>
      </c>
      <c r="M387" s="4" t="str">
        <f>IF(Table3[[#This Row],[Afrondingsdatum YB]]="N/A","-",Table3[[#This Row],[Afrondingsdatum YB]]-Table3[[#This Row],[StartDatum]])</f>
        <v>-</v>
      </c>
      <c r="N387" s="4"/>
      <c r="O387">
        <f t="shared" si="33"/>
        <v>109</v>
      </c>
      <c r="P387">
        <f t="shared" si="33"/>
        <v>105</v>
      </c>
      <c r="Q387">
        <f t="shared" si="33"/>
        <v>114</v>
      </c>
      <c r="R387">
        <f t="shared" si="33"/>
        <v>110</v>
      </c>
      <c r="S387">
        <f t="shared" si="33"/>
        <v>97</v>
      </c>
      <c r="T387">
        <f t="shared" si="33"/>
        <v>46</v>
      </c>
      <c r="U387">
        <f t="shared" si="33"/>
        <v>109</v>
      </c>
      <c r="V387">
        <f t="shared" si="33"/>
        <v>111</v>
      </c>
      <c r="W387" s="5">
        <f t="shared" ref="W387:W424" si="35">ROUND((O387*O$1+P387/P$1+Q387*Q$1+R387/R$1)+SUM(S387:V387),0)</f>
        <v>894</v>
      </c>
      <c r="X387" s="9" t="str">
        <f t="shared" ref="X387:X424" si="36">MID(G387,2,1)&amp;TEXT(W387,"###")</f>
        <v>i894</v>
      </c>
    </row>
    <row r="388" spans="1:24" x14ac:dyDescent="0.2">
      <c r="A388" s="9" t="s">
        <v>425</v>
      </c>
      <c r="B388" s="9">
        <v>1</v>
      </c>
      <c r="C388" s="22">
        <v>7</v>
      </c>
      <c r="D388" s="25"/>
      <c r="E388" s="18">
        <v>45215</v>
      </c>
      <c r="F388" s="18" t="s">
        <v>364</v>
      </c>
      <c r="G388" s="20" t="s">
        <v>50</v>
      </c>
      <c r="H388" s="19">
        <v>0.98</v>
      </c>
      <c r="I388" s="20" t="s">
        <v>191</v>
      </c>
      <c r="J388" s="20" t="s">
        <v>7</v>
      </c>
      <c r="K388" s="20" t="s">
        <v>9</v>
      </c>
      <c r="L388" s="20">
        <f t="shared" si="34"/>
        <v>731</v>
      </c>
      <c r="M388" s="4" t="str">
        <f>IF(Table3[[#This Row],[Afrondingsdatum YB]]="N/A","-",Table3[[#This Row],[Afrondingsdatum YB]]-Table3[[#This Row],[StartDatum]])</f>
        <v>-</v>
      </c>
      <c r="N388" s="4"/>
      <c r="O388">
        <f t="shared" si="33"/>
        <v>109</v>
      </c>
      <c r="P388">
        <f t="shared" si="33"/>
        <v>111</v>
      </c>
      <c r="Q388">
        <f t="shared" si="33"/>
        <v>104</v>
      </c>
      <c r="R388">
        <f t="shared" si="33"/>
        <v>97</v>
      </c>
      <c r="S388">
        <f t="shared" si="33"/>
        <v>109</v>
      </c>
      <c r="T388">
        <f t="shared" si="33"/>
        <v>101</v>
      </c>
      <c r="U388">
        <f t="shared" si="33"/>
        <v>100</v>
      </c>
      <c r="V388">
        <f t="shared" si="33"/>
        <v>46</v>
      </c>
      <c r="W388" s="5">
        <f t="shared" si="35"/>
        <v>857</v>
      </c>
      <c r="X388" s="9" t="str">
        <f t="shared" si="36"/>
        <v>o857</v>
      </c>
    </row>
    <row r="389" spans="1:24" x14ac:dyDescent="0.2">
      <c r="A389" s="9" t="s">
        <v>425</v>
      </c>
      <c r="B389" s="9">
        <v>1</v>
      </c>
      <c r="C389" s="22">
        <v>7</v>
      </c>
      <c r="D389" s="25"/>
      <c r="E389" s="23">
        <v>45215</v>
      </c>
      <c r="F389" s="23" t="s">
        <v>362</v>
      </c>
      <c r="G389" s="25" t="s">
        <v>127</v>
      </c>
      <c r="H389" s="24">
        <v>0</v>
      </c>
      <c r="I389" s="25" t="s">
        <v>8</v>
      </c>
      <c r="J389" s="25" t="s">
        <v>7</v>
      </c>
      <c r="K389" s="25" t="s">
        <v>9</v>
      </c>
      <c r="L389" s="25">
        <f t="shared" si="34"/>
        <v>758</v>
      </c>
      <c r="M389" s="4" t="str">
        <f>IF(Table3[[#This Row],[Afrondingsdatum YB]]="N/A","-",Table3[[#This Row],[Afrondingsdatum YB]]-Table3[[#This Row],[StartDatum]])</f>
        <v>-</v>
      </c>
      <c r="N389" s="4"/>
      <c r="O389">
        <f t="shared" si="33"/>
        <v>109</v>
      </c>
      <c r="P389">
        <f t="shared" si="33"/>
        <v>111</v>
      </c>
      <c r="Q389">
        <f t="shared" si="33"/>
        <v>107</v>
      </c>
      <c r="R389">
        <f t="shared" si="33"/>
        <v>104</v>
      </c>
      <c r="S389">
        <f t="shared" si="33"/>
        <v>116</v>
      </c>
      <c r="T389">
        <f t="shared" si="33"/>
        <v>97</v>
      </c>
      <c r="U389">
        <f t="shared" si="33"/>
        <v>114</v>
      </c>
      <c r="V389">
        <f t="shared" si="33"/>
        <v>46</v>
      </c>
      <c r="W389" s="5">
        <f t="shared" si="35"/>
        <v>885</v>
      </c>
      <c r="X389" s="9" t="str">
        <f t="shared" si="36"/>
        <v>o885</v>
      </c>
    </row>
    <row r="390" spans="1:24" x14ac:dyDescent="0.2">
      <c r="A390" s="9" t="s">
        <v>425</v>
      </c>
      <c r="B390" s="9">
        <v>1</v>
      </c>
      <c r="C390" s="22">
        <v>7</v>
      </c>
      <c r="D390" s="25"/>
      <c r="E390" s="18">
        <v>45215</v>
      </c>
      <c r="F390" s="18" t="s">
        <v>363</v>
      </c>
      <c r="G390" s="20" t="s">
        <v>51</v>
      </c>
      <c r="H390" s="19">
        <v>0.51</v>
      </c>
      <c r="I390" s="20" t="s">
        <v>192</v>
      </c>
      <c r="J390" s="20" t="s">
        <v>7</v>
      </c>
      <c r="K390" s="20" t="s">
        <v>9</v>
      </c>
      <c r="L390" s="20">
        <f t="shared" si="34"/>
        <v>742</v>
      </c>
      <c r="M390" s="4" t="str">
        <f>IF(Table3[[#This Row],[Afrondingsdatum YB]]="N/A","-",Table3[[#This Row],[Afrondingsdatum YB]]-Table3[[#This Row],[StartDatum]])</f>
        <v>-</v>
      </c>
      <c r="N390" s="4"/>
      <c r="O390">
        <f t="shared" si="33"/>
        <v>110</v>
      </c>
      <c r="P390">
        <f t="shared" si="33"/>
        <v>97</v>
      </c>
      <c r="Q390">
        <f t="shared" si="33"/>
        <v>111</v>
      </c>
      <c r="R390">
        <f t="shared" si="33"/>
        <v>117</v>
      </c>
      <c r="S390">
        <f t="shared" si="33"/>
        <v>102</v>
      </c>
      <c r="T390">
        <f t="shared" si="33"/>
        <v>97</v>
      </c>
      <c r="U390">
        <f t="shared" si="33"/>
        <v>108</v>
      </c>
      <c r="V390">
        <f t="shared" si="33"/>
        <v>46</v>
      </c>
      <c r="W390" s="5">
        <f t="shared" si="35"/>
        <v>874</v>
      </c>
      <c r="X390" s="9" t="str">
        <f t="shared" si="36"/>
        <v>a874</v>
      </c>
    </row>
    <row r="391" spans="1:24" x14ac:dyDescent="0.2">
      <c r="A391" s="9" t="s">
        <v>425</v>
      </c>
      <c r="B391" s="9">
        <v>1</v>
      </c>
      <c r="C391" s="22">
        <v>7</v>
      </c>
      <c r="D391" s="25"/>
      <c r="E391" s="23">
        <v>45215</v>
      </c>
      <c r="F391" s="23" t="s">
        <v>362</v>
      </c>
      <c r="G391" s="25" t="s">
        <v>52</v>
      </c>
      <c r="H391" s="24">
        <v>0</v>
      </c>
      <c r="I391" s="25" t="s">
        <v>8</v>
      </c>
      <c r="J391" s="25" t="s">
        <v>7</v>
      </c>
      <c r="K391" s="25" t="s">
        <v>9</v>
      </c>
      <c r="L391" s="25">
        <f t="shared" si="34"/>
        <v>684</v>
      </c>
      <c r="M391" s="4" t="str">
        <f>IF(Table3[[#This Row],[Afrondingsdatum YB]]="N/A","-",Table3[[#This Row],[Afrondingsdatum YB]]-Table3[[#This Row],[StartDatum]])</f>
        <v>-</v>
      </c>
      <c r="N391" s="4"/>
      <c r="O391">
        <f t="shared" si="33"/>
        <v>110</v>
      </c>
      <c r="P391">
        <f t="shared" si="33"/>
        <v>105</v>
      </c>
      <c r="Q391">
        <f t="shared" si="33"/>
        <v>99</v>
      </c>
      <c r="R391">
        <f t="shared" si="33"/>
        <v>107</v>
      </c>
      <c r="S391">
        <f t="shared" si="33"/>
        <v>46</v>
      </c>
      <c r="T391">
        <f t="shared" si="33"/>
        <v>106</v>
      </c>
      <c r="U391">
        <f t="shared" si="33"/>
        <v>111</v>
      </c>
      <c r="V391">
        <f t="shared" si="33"/>
        <v>111</v>
      </c>
      <c r="W391" s="5">
        <f t="shared" si="35"/>
        <v>860</v>
      </c>
      <c r="X391" s="9" t="str">
        <f t="shared" si="36"/>
        <v>i860</v>
      </c>
    </row>
    <row r="392" spans="1:24" x14ac:dyDescent="0.2">
      <c r="A392" s="9" t="s">
        <v>425</v>
      </c>
      <c r="B392" s="9">
        <v>1</v>
      </c>
      <c r="C392" s="22">
        <v>7</v>
      </c>
      <c r="D392" s="25"/>
      <c r="E392" s="18">
        <v>45215</v>
      </c>
      <c r="F392" s="18" t="s">
        <v>364</v>
      </c>
      <c r="G392" s="20" t="s">
        <v>53</v>
      </c>
      <c r="H392" s="19">
        <v>0</v>
      </c>
      <c r="I392" s="20" t="s">
        <v>8</v>
      </c>
      <c r="J392" s="20" t="s">
        <v>7</v>
      </c>
      <c r="K392" s="20" t="s">
        <v>9</v>
      </c>
      <c r="L392" s="20">
        <f t="shared" si="34"/>
        <v>737</v>
      </c>
      <c r="M392" s="4" t="str">
        <f>IF(Table3[[#This Row],[Afrondingsdatum YB]]="N/A","-",Table3[[#This Row],[Afrondingsdatum YB]]-Table3[[#This Row],[StartDatum]])</f>
        <v>-</v>
      </c>
      <c r="N392" s="4"/>
      <c r="O392">
        <f t="shared" si="33"/>
        <v>110</v>
      </c>
      <c r="P392">
        <f t="shared" si="33"/>
        <v>105</v>
      </c>
      <c r="Q392">
        <f t="shared" si="33"/>
        <v>99</v>
      </c>
      <c r="R392">
        <f t="shared" si="33"/>
        <v>107</v>
      </c>
      <c r="S392">
        <f t="shared" si="33"/>
        <v>111</v>
      </c>
      <c r="T392">
        <f t="shared" si="33"/>
        <v>108</v>
      </c>
      <c r="U392">
        <f t="shared" si="33"/>
        <v>97</v>
      </c>
      <c r="V392">
        <f t="shared" si="33"/>
        <v>115</v>
      </c>
      <c r="W392" s="5">
        <f t="shared" si="35"/>
        <v>917</v>
      </c>
      <c r="X392" s="9" t="str">
        <f t="shared" si="36"/>
        <v>i917</v>
      </c>
    </row>
    <row r="393" spans="1:24" x14ac:dyDescent="0.2">
      <c r="A393" s="9" t="s">
        <v>425</v>
      </c>
      <c r="B393" s="9">
        <v>1</v>
      </c>
      <c r="C393" s="22">
        <v>7</v>
      </c>
      <c r="D393" s="25"/>
      <c r="E393" s="23">
        <v>45215</v>
      </c>
      <c r="F393" s="23" t="s">
        <v>364</v>
      </c>
      <c r="G393" s="25" t="s">
        <v>54</v>
      </c>
      <c r="H393" s="24">
        <v>0</v>
      </c>
      <c r="I393" s="25" t="s">
        <v>8</v>
      </c>
      <c r="J393" s="25" t="s">
        <v>7</v>
      </c>
      <c r="K393" s="25" t="s">
        <v>9</v>
      </c>
      <c r="L393" s="25">
        <f t="shared" si="34"/>
        <v>705</v>
      </c>
      <c r="M393" s="4" t="str">
        <f>IF(Table3[[#This Row],[Afrondingsdatum YB]]="N/A","-",Table3[[#This Row],[Afrondingsdatum YB]]-Table3[[#This Row],[StartDatum]])</f>
        <v>-</v>
      </c>
      <c r="N393" s="4"/>
      <c r="O393">
        <f t="shared" si="33"/>
        <v>110</v>
      </c>
      <c r="P393">
        <f t="shared" si="33"/>
        <v>105</v>
      </c>
      <c r="Q393">
        <f t="shared" si="33"/>
        <v>115</v>
      </c>
      <c r="R393">
        <f t="shared" si="33"/>
        <v>114</v>
      </c>
      <c r="S393">
        <f t="shared" si="33"/>
        <v>105</v>
      </c>
      <c r="T393">
        <f t="shared" si="33"/>
        <v>110</v>
      </c>
      <c r="U393">
        <f t="shared" si="33"/>
        <v>46</v>
      </c>
      <c r="V393">
        <f t="shared" si="33"/>
        <v>104</v>
      </c>
      <c r="W393" s="5">
        <f t="shared" si="35"/>
        <v>901</v>
      </c>
      <c r="X393" s="9" t="str">
        <f t="shared" si="36"/>
        <v>i901</v>
      </c>
    </row>
    <row r="394" spans="1:24" x14ac:dyDescent="0.2">
      <c r="A394" s="9" t="s">
        <v>425</v>
      </c>
      <c r="B394" s="9">
        <v>1</v>
      </c>
      <c r="C394" s="22">
        <v>7</v>
      </c>
      <c r="D394" s="25"/>
      <c r="E394" s="18">
        <v>45215</v>
      </c>
      <c r="F394" s="18" t="s">
        <v>364</v>
      </c>
      <c r="G394" s="20" t="s">
        <v>55</v>
      </c>
      <c r="H394" s="19">
        <v>0.98</v>
      </c>
      <c r="I394" s="20" t="s">
        <v>158</v>
      </c>
      <c r="J394" s="20" t="s">
        <v>7</v>
      </c>
      <c r="K394" s="20" t="s">
        <v>9</v>
      </c>
      <c r="L394" s="20">
        <f t="shared" si="34"/>
        <v>681</v>
      </c>
      <c r="M394" s="4" t="str">
        <f>IF(Table3[[#This Row],[Afrondingsdatum YB]]="N/A","-",Table3[[#This Row],[Afrondingsdatum YB]]-Table3[[#This Row],[StartDatum]])</f>
        <v>-</v>
      </c>
      <c r="N394" s="4"/>
      <c r="O394">
        <f t="shared" si="33"/>
        <v>110</v>
      </c>
      <c r="P394">
        <f t="shared" si="33"/>
        <v>111</v>
      </c>
      <c r="Q394">
        <f t="shared" si="33"/>
        <v>101</v>
      </c>
      <c r="R394">
        <f t="shared" si="33"/>
        <v>108</v>
      </c>
      <c r="S394">
        <f t="shared" si="33"/>
        <v>108</v>
      </c>
      <c r="T394">
        <f t="shared" si="33"/>
        <v>97</v>
      </c>
      <c r="U394">
        <f t="shared" si="33"/>
        <v>46</v>
      </c>
      <c r="V394">
        <f t="shared" si="33"/>
        <v>108</v>
      </c>
      <c r="W394" s="5">
        <f t="shared" si="35"/>
        <v>855</v>
      </c>
      <c r="X394" s="9" t="str">
        <f t="shared" si="36"/>
        <v>o855</v>
      </c>
    </row>
    <row r="395" spans="1:24" x14ac:dyDescent="0.2">
      <c r="A395" s="9" t="s">
        <v>425</v>
      </c>
      <c r="B395" s="9">
        <v>1</v>
      </c>
      <c r="C395" s="22">
        <v>7</v>
      </c>
      <c r="D395" s="25"/>
      <c r="E395" s="23">
        <v>45215</v>
      </c>
      <c r="F395" s="23" t="s">
        <v>363</v>
      </c>
      <c r="G395" s="25" t="s">
        <v>56</v>
      </c>
      <c r="H395" s="24">
        <v>0.68</v>
      </c>
      <c r="I395" s="25" t="s">
        <v>172</v>
      </c>
      <c r="J395" s="25" t="s">
        <v>7</v>
      </c>
      <c r="K395" s="25" t="s">
        <v>9</v>
      </c>
      <c r="L395" s="25">
        <f t="shared" si="34"/>
        <v>708</v>
      </c>
      <c r="M395" s="4" t="str">
        <f>IF(Table3[[#This Row],[Afrondingsdatum YB]]="N/A","-",Table3[[#This Row],[Afrondingsdatum YB]]-Table3[[#This Row],[StartDatum]])</f>
        <v>-</v>
      </c>
      <c r="N395" s="4"/>
      <c r="O395">
        <f t="shared" si="33"/>
        <v>110</v>
      </c>
      <c r="P395">
        <f t="shared" si="33"/>
        <v>117</v>
      </c>
      <c r="Q395">
        <f t="shared" si="33"/>
        <v>112</v>
      </c>
      <c r="R395">
        <f t="shared" si="33"/>
        <v>101</v>
      </c>
      <c r="S395">
        <f t="shared" si="33"/>
        <v>108</v>
      </c>
      <c r="T395">
        <f t="shared" si="33"/>
        <v>46</v>
      </c>
      <c r="U395">
        <f t="shared" si="33"/>
        <v>114</v>
      </c>
      <c r="V395">
        <f t="shared" si="33"/>
        <v>117</v>
      </c>
      <c r="W395" s="5">
        <f t="shared" si="35"/>
        <v>915</v>
      </c>
      <c r="X395" s="9" t="str">
        <f t="shared" si="36"/>
        <v>u915</v>
      </c>
    </row>
    <row r="396" spans="1:24" x14ac:dyDescent="0.2">
      <c r="A396" s="9" t="s">
        <v>425</v>
      </c>
      <c r="B396" s="9">
        <v>1</v>
      </c>
      <c r="C396" s="22">
        <v>7</v>
      </c>
      <c r="D396" s="25"/>
      <c r="E396" s="18">
        <v>45215</v>
      </c>
      <c r="F396" s="18" t="s">
        <v>364</v>
      </c>
      <c r="G396" s="20" t="s">
        <v>57</v>
      </c>
      <c r="H396" s="19">
        <v>0.57999999999999996</v>
      </c>
      <c r="I396" s="20" t="s">
        <v>193</v>
      </c>
      <c r="J396" s="20" t="s">
        <v>7</v>
      </c>
      <c r="K396" s="20" t="s">
        <v>9</v>
      </c>
      <c r="L396" s="20">
        <f t="shared" si="34"/>
        <v>762</v>
      </c>
      <c r="M396" s="4" t="str">
        <f>IF(Table3[[#This Row],[Afrondingsdatum YB]]="N/A","-",Table3[[#This Row],[Afrondingsdatum YB]]-Table3[[#This Row],[StartDatum]])</f>
        <v>-</v>
      </c>
      <c r="N396" s="4"/>
      <c r="O396">
        <f t="shared" si="33"/>
        <v>111</v>
      </c>
      <c r="P396">
        <f t="shared" si="33"/>
        <v>108</v>
      </c>
      <c r="Q396">
        <f t="shared" si="33"/>
        <v>105</v>
      </c>
      <c r="R396">
        <f t="shared" si="33"/>
        <v>118</v>
      </c>
      <c r="S396">
        <f t="shared" si="33"/>
        <v>105</v>
      </c>
      <c r="T396">
        <f t="shared" si="33"/>
        <v>101</v>
      </c>
      <c r="U396">
        <f t="shared" si="33"/>
        <v>114</v>
      </c>
      <c r="V396">
        <f t="shared" si="33"/>
        <v>46</v>
      </c>
      <c r="W396" s="5">
        <f t="shared" si="35"/>
        <v>876</v>
      </c>
      <c r="X396" s="9" t="str">
        <f t="shared" si="36"/>
        <v>l876</v>
      </c>
    </row>
    <row r="397" spans="1:24" x14ac:dyDescent="0.2">
      <c r="A397" s="9" t="s">
        <v>425</v>
      </c>
      <c r="B397" s="9">
        <v>1</v>
      </c>
      <c r="C397" s="22">
        <v>7</v>
      </c>
      <c r="D397" s="25"/>
      <c r="E397" s="23">
        <v>45215</v>
      </c>
      <c r="F397" s="23" t="s">
        <v>362</v>
      </c>
      <c r="G397" s="25" t="s">
        <v>58</v>
      </c>
      <c r="H397" s="24">
        <v>0.33</v>
      </c>
      <c r="I397" s="25" t="s">
        <v>194</v>
      </c>
      <c r="J397" s="25" t="s">
        <v>7</v>
      </c>
      <c r="K397" s="25" t="s">
        <v>9</v>
      </c>
      <c r="L397" s="25">
        <f t="shared" si="34"/>
        <v>681</v>
      </c>
      <c r="M397" s="4" t="str">
        <f>IF(Table3[[#This Row],[Afrondingsdatum YB]]="N/A","-",Table3[[#This Row],[Afrondingsdatum YB]]-Table3[[#This Row],[StartDatum]])</f>
        <v>-</v>
      </c>
      <c r="N397" s="4"/>
      <c r="O397">
        <f t="shared" si="33"/>
        <v>112</v>
      </c>
      <c r="P397">
        <f t="shared" si="33"/>
        <v>97</v>
      </c>
      <c r="Q397">
        <f t="shared" si="33"/>
        <v>117</v>
      </c>
      <c r="R397">
        <f t="shared" si="33"/>
        <v>108</v>
      </c>
      <c r="S397">
        <f t="shared" si="33"/>
        <v>46</v>
      </c>
      <c r="T397">
        <f t="shared" si="33"/>
        <v>100</v>
      </c>
      <c r="U397">
        <f t="shared" si="33"/>
        <v>101</v>
      </c>
      <c r="V397">
        <f t="shared" si="33"/>
        <v>46</v>
      </c>
      <c r="W397" s="5">
        <f t="shared" si="35"/>
        <v>832</v>
      </c>
      <c r="X397" s="9" t="str">
        <f t="shared" si="36"/>
        <v>a832</v>
      </c>
    </row>
    <row r="398" spans="1:24" x14ac:dyDescent="0.2">
      <c r="A398" s="9" t="s">
        <v>425</v>
      </c>
      <c r="B398" s="9">
        <v>1</v>
      </c>
      <c r="C398" s="22">
        <v>7</v>
      </c>
      <c r="D398" s="25"/>
      <c r="E398" s="18">
        <v>45215</v>
      </c>
      <c r="F398" s="18" t="s">
        <v>364</v>
      </c>
      <c r="G398" s="20" t="s">
        <v>59</v>
      </c>
      <c r="H398" s="19">
        <v>0.21</v>
      </c>
      <c r="I398" s="20" t="s">
        <v>195</v>
      </c>
      <c r="J398" s="20" t="s">
        <v>7</v>
      </c>
      <c r="K398" s="20" t="s">
        <v>9</v>
      </c>
      <c r="L398" s="20">
        <f t="shared" si="34"/>
        <v>695</v>
      </c>
      <c r="M398" s="4" t="str">
        <f>IF(Table3[[#This Row],[Afrondingsdatum YB]]="N/A","-",Table3[[#This Row],[Afrondingsdatum YB]]-Table3[[#This Row],[StartDatum]])</f>
        <v>-</v>
      </c>
      <c r="N398" s="4"/>
      <c r="O398">
        <f t="shared" si="33"/>
        <v>112</v>
      </c>
      <c r="P398">
        <f t="shared" si="33"/>
        <v>105</v>
      </c>
      <c r="Q398">
        <f t="shared" si="33"/>
        <v>101</v>
      </c>
      <c r="R398">
        <f t="shared" si="33"/>
        <v>116</v>
      </c>
      <c r="S398">
        <f t="shared" si="33"/>
        <v>101</v>
      </c>
      <c r="T398">
        <f t="shared" si="33"/>
        <v>114</v>
      </c>
      <c r="U398">
        <f t="shared" ref="P398:V430" si="37">CODE(MID($G398,U$1,1))</f>
        <v>46</v>
      </c>
      <c r="V398">
        <f t="shared" si="37"/>
        <v>109</v>
      </c>
      <c r="W398" s="5">
        <f t="shared" si="35"/>
        <v>867</v>
      </c>
      <c r="X398" s="9" t="str">
        <f t="shared" si="36"/>
        <v>i867</v>
      </c>
    </row>
    <row r="399" spans="1:24" x14ac:dyDescent="0.2">
      <c r="A399" s="9" t="s">
        <v>425</v>
      </c>
      <c r="B399" s="9">
        <v>1</v>
      </c>
      <c r="C399" s="22">
        <v>7</v>
      </c>
      <c r="D399" s="25"/>
      <c r="E399" s="23">
        <v>45215</v>
      </c>
      <c r="F399" s="23" t="s">
        <v>362</v>
      </c>
      <c r="G399" s="25" t="s">
        <v>60</v>
      </c>
      <c r="H399" s="24">
        <v>0.42</v>
      </c>
      <c r="I399" s="25" t="s">
        <v>196</v>
      </c>
      <c r="J399" s="25" t="s">
        <v>7</v>
      </c>
      <c r="K399" s="25" t="s">
        <v>9</v>
      </c>
      <c r="L399" s="25">
        <f t="shared" si="34"/>
        <v>703</v>
      </c>
      <c r="M399" s="4" t="str">
        <f>IF(Table3[[#This Row],[Afrondingsdatum YB]]="N/A","-",Table3[[#This Row],[Afrondingsdatum YB]]-Table3[[#This Row],[StartDatum]])</f>
        <v>-</v>
      </c>
      <c r="N399" s="4"/>
      <c r="O399">
        <f t="shared" ref="O399:V450" si="38">CODE(MID($G399,O$1,1))</f>
        <v>114</v>
      </c>
      <c r="P399">
        <f t="shared" si="37"/>
        <v>101</v>
      </c>
      <c r="Q399">
        <f t="shared" si="37"/>
        <v>110</v>
      </c>
      <c r="R399">
        <f t="shared" si="37"/>
        <v>115</v>
      </c>
      <c r="S399">
        <f t="shared" si="37"/>
        <v>46</v>
      </c>
      <c r="T399">
        <f t="shared" si="37"/>
        <v>103</v>
      </c>
      <c r="U399">
        <f t="shared" si="37"/>
        <v>114</v>
      </c>
      <c r="V399">
        <f t="shared" si="37"/>
        <v>111</v>
      </c>
      <c r="W399" s="5">
        <f t="shared" si="35"/>
        <v>897</v>
      </c>
      <c r="X399" s="9" t="str">
        <f t="shared" si="36"/>
        <v>e897</v>
      </c>
    </row>
    <row r="400" spans="1:24" x14ac:dyDescent="0.2">
      <c r="A400" s="9" t="s">
        <v>425</v>
      </c>
      <c r="B400" s="9">
        <v>1</v>
      </c>
      <c r="C400" s="22">
        <v>7</v>
      </c>
      <c r="D400" s="25"/>
      <c r="E400" s="18">
        <v>45215</v>
      </c>
      <c r="F400" s="18" t="s">
        <v>363</v>
      </c>
      <c r="G400" s="20" t="s">
        <v>61</v>
      </c>
      <c r="H400" s="19">
        <v>0</v>
      </c>
      <c r="I400" s="20" t="s">
        <v>8</v>
      </c>
      <c r="J400" s="20" t="s">
        <v>7</v>
      </c>
      <c r="K400" s="20" t="s">
        <v>9</v>
      </c>
      <c r="L400" s="20">
        <f t="shared" si="34"/>
        <v>697</v>
      </c>
      <c r="M400" s="4" t="str">
        <f>IF(Table3[[#This Row],[Afrondingsdatum YB]]="N/A","-",Table3[[#This Row],[Afrondingsdatum YB]]-Table3[[#This Row],[StartDatum]])</f>
        <v>-</v>
      </c>
      <c r="N400" s="4"/>
      <c r="O400">
        <f t="shared" si="38"/>
        <v>114</v>
      </c>
      <c r="P400">
        <f t="shared" si="37"/>
        <v>111</v>
      </c>
      <c r="Q400">
        <f t="shared" si="37"/>
        <v>119</v>
      </c>
      <c r="R400">
        <f t="shared" si="37"/>
        <v>97</v>
      </c>
      <c r="S400">
        <f t="shared" si="37"/>
        <v>110</v>
      </c>
      <c r="T400">
        <f t="shared" si="37"/>
        <v>46</v>
      </c>
      <c r="U400">
        <f t="shared" si="37"/>
        <v>100</v>
      </c>
      <c r="V400">
        <f t="shared" si="37"/>
        <v>101</v>
      </c>
      <c r="W400" s="5">
        <f t="shared" si="35"/>
        <v>908</v>
      </c>
      <c r="X400" s="9" t="str">
        <f t="shared" si="36"/>
        <v>o908</v>
      </c>
    </row>
    <row r="401" spans="1:24" x14ac:dyDescent="0.2">
      <c r="A401" s="9" t="s">
        <v>425</v>
      </c>
      <c r="B401" s="9">
        <v>1</v>
      </c>
      <c r="C401" s="22">
        <v>7</v>
      </c>
      <c r="D401" s="25"/>
      <c r="E401" s="23">
        <v>45215</v>
      </c>
      <c r="F401" s="23" t="s">
        <v>363</v>
      </c>
      <c r="G401" s="25" t="s">
        <v>84</v>
      </c>
      <c r="H401" s="24">
        <v>0.44</v>
      </c>
      <c r="I401" s="25" t="s">
        <v>178</v>
      </c>
      <c r="J401" s="25" t="s">
        <v>7</v>
      </c>
      <c r="K401" s="25" t="s">
        <v>9</v>
      </c>
      <c r="L401" s="25">
        <f t="shared" si="34"/>
        <v>683</v>
      </c>
      <c r="M401" s="4" t="str">
        <f>IF(Table3[[#This Row],[Afrondingsdatum YB]]="N/A","-",Table3[[#This Row],[Afrondingsdatum YB]]-Table3[[#This Row],[StartDatum]])</f>
        <v>-</v>
      </c>
      <c r="N401" s="4"/>
      <c r="O401">
        <f t="shared" si="38"/>
        <v>115</v>
      </c>
      <c r="P401">
        <f t="shared" si="37"/>
        <v>97</v>
      </c>
      <c r="Q401">
        <f t="shared" si="37"/>
        <v>110</v>
      </c>
      <c r="R401">
        <f t="shared" si="37"/>
        <v>100</v>
      </c>
      <c r="S401">
        <f t="shared" si="37"/>
        <v>101</v>
      </c>
      <c r="T401">
        <f t="shared" si="37"/>
        <v>114</v>
      </c>
      <c r="U401">
        <f t="shared" si="37"/>
        <v>46</v>
      </c>
      <c r="V401">
        <f t="shared" si="37"/>
        <v>98</v>
      </c>
      <c r="W401" s="5">
        <f t="shared" si="35"/>
        <v>878</v>
      </c>
      <c r="X401" s="9" t="str">
        <f t="shared" si="36"/>
        <v>a878</v>
      </c>
    </row>
    <row r="402" spans="1:24" x14ac:dyDescent="0.2">
      <c r="A402" s="9" t="s">
        <v>425</v>
      </c>
      <c r="B402" s="9">
        <v>1</v>
      </c>
      <c r="C402" s="22">
        <v>7</v>
      </c>
      <c r="D402" s="25"/>
      <c r="E402" s="18">
        <v>45215</v>
      </c>
      <c r="F402" s="18" t="s">
        <v>363</v>
      </c>
      <c r="G402" s="20" t="s">
        <v>62</v>
      </c>
      <c r="H402" s="19">
        <v>1</v>
      </c>
      <c r="I402" s="20" t="s">
        <v>162</v>
      </c>
      <c r="J402" s="34">
        <v>45202</v>
      </c>
      <c r="K402" s="19">
        <v>0.75</v>
      </c>
      <c r="L402" s="20">
        <f t="shared" si="34"/>
        <v>670</v>
      </c>
      <c r="M402" s="4">
        <f>IF(Table3[[#This Row],[Afrondingsdatum YB]]="N/A","-",Table3[[#This Row],[Afrondingsdatum YB]]-Table3[[#This Row],[StartDatum]])</f>
        <v>45202</v>
      </c>
      <c r="N402" s="4"/>
      <c r="O402">
        <f t="shared" si="38"/>
        <v>115</v>
      </c>
      <c r="P402">
        <f t="shared" si="37"/>
        <v>97</v>
      </c>
      <c r="Q402">
        <f t="shared" si="37"/>
        <v>114</v>
      </c>
      <c r="R402">
        <f t="shared" si="37"/>
        <v>97</v>
      </c>
      <c r="S402">
        <f t="shared" si="37"/>
        <v>46</v>
      </c>
      <c r="T402">
        <f t="shared" si="37"/>
        <v>100</v>
      </c>
      <c r="U402">
        <f t="shared" si="37"/>
        <v>101</v>
      </c>
      <c r="V402">
        <f t="shared" si="37"/>
        <v>46</v>
      </c>
      <c r="W402" s="5">
        <f t="shared" si="35"/>
        <v>823</v>
      </c>
      <c r="X402" s="9" t="str">
        <f t="shared" si="36"/>
        <v>a823</v>
      </c>
    </row>
    <row r="403" spans="1:24" x14ac:dyDescent="0.2">
      <c r="A403" s="9" t="s">
        <v>425</v>
      </c>
      <c r="B403" s="9">
        <v>1</v>
      </c>
      <c r="C403" s="22">
        <v>7</v>
      </c>
      <c r="D403" s="25"/>
      <c r="E403" s="23">
        <v>45215</v>
      </c>
      <c r="F403" s="23" t="s">
        <v>362</v>
      </c>
      <c r="G403" s="25" t="s">
        <v>131</v>
      </c>
      <c r="H403" s="24">
        <v>0.04</v>
      </c>
      <c r="I403" s="25" t="s">
        <v>130</v>
      </c>
      <c r="J403" s="25" t="s">
        <v>7</v>
      </c>
      <c r="K403" s="25" t="s">
        <v>9</v>
      </c>
      <c r="L403" s="25">
        <f t="shared" si="34"/>
        <v>675</v>
      </c>
      <c r="M403" s="4" t="str">
        <f>IF(Table3[[#This Row],[Afrondingsdatum YB]]="N/A","-",Table3[[#This Row],[Afrondingsdatum YB]]-Table3[[#This Row],[StartDatum]])</f>
        <v>-</v>
      </c>
      <c r="N403" s="4"/>
      <c r="O403">
        <f t="shared" si="38"/>
        <v>115</v>
      </c>
      <c r="P403">
        <f t="shared" si="37"/>
        <v>97</v>
      </c>
      <c r="Q403">
        <f t="shared" si="37"/>
        <v>114</v>
      </c>
      <c r="R403">
        <f t="shared" si="37"/>
        <v>97</v>
      </c>
      <c r="S403">
        <f t="shared" si="37"/>
        <v>104</v>
      </c>
      <c r="T403">
        <f t="shared" si="37"/>
        <v>46</v>
      </c>
      <c r="U403">
        <f t="shared" si="37"/>
        <v>102</v>
      </c>
      <c r="V403">
        <f t="shared" si="37"/>
        <v>97</v>
      </c>
      <c r="W403" s="5">
        <f t="shared" si="35"/>
        <v>879</v>
      </c>
      <c r="X403" s="9" t="str">
        <f t="shared" si="36"/>
        <v>a879</v>
      </c>
    </row>
    <row r="404" spans="1:24" x14ac:dyDescent="0.2">
      <c r="A404" s="9" t="s">
        <v>425</v>
      </c>
      <c r="B404" s="9">
        <v>1</v>
      </c>
      <c r="C404" s="22">
        <v>7</v>
      </c>
      <c r="D404" s="25"/>
      <c r="E404" s="18">
        <v>45215</v>
      </c>
      <c r="F404" s="18" t="s">
        <v>364</v>
      </c>
      <c r="G404" s="20" t="s">
        <v>108</v>
      </c>
      <c r="H404" s="19">
        <v>0.06</v>
      </c>
      <c r="I404" s="20" t="s">
        <v>96</v>
      </c>
      <c r="J404" s="20" t="s">
        <v>7</v>
      </c>
      <c r="K404" s="20" t="s">
        <v>9</v>
      </c>
      <c r="L404" s="20">
        <f t="shared" si="34"/>
        <v>760</v>
      </c>
      <c r="M404" s="4" t="str">
        <f>IF(Table3[[#This Row],[Afrondingsdatum YB]]="N/A","-",Table3[[#This Row],[Afrondingsdatum YB]]-Table3[[#This Row],[StartDatum]])</f>
        <v>-</v>
      </c>
      <c r="N404" s="4"/>
      <c r="O404">
        <f t="shared" si="38"/>
        <v>115</v>
      </c>
      <c r="P404">
        <f t="shared" si="37"/>
        <v>97</v>
      </c>
      <c r="Q404">
        <f t="shared" si="37"/>
        <v>118</v>
      </c>
      <c r="R404">
        <f t="shared" si="37"/>
        <v>101</v>
      </c>
      <c r="S404">
        <f t="shared" si="37"/>
        <v>114</v>
      </c>
      <c r="T404">
        <f t="shared" si="37"/>
        <v>105</v>
      </c>
      <c r="U404">
        <f t="shared" si="37"/>
        <v>110</v>
      </c>
      <c r="V404">
        <f t="shared" si="37"/>
        <v>105</v>
      </c>
      <c r="W404" s="5">
        <f t="shared" si="35"/>
        <v>977</v>
      </c>
      <c r="X404" s="9" t="str">
        <f t="shared" si="36"/>
        <v>a977</v>
      </c>
    </row>
    <row r="405" spans="1:24" x14ac:dyDescent="0.2">
      <c r="A405" s="9" t="s">
        <v>425</v>
      </c>
      <c r="B405" s="9">
        <v>1</v>
      </c>
      <c r="C405" s="22">
        <v>7</v>
      </c>
      <c r="D405" s="25"/>
      <c r="E405" s="23">
        <v>45215</v>
      </c>
      <c r="F405" s="23" t="s">
        <v>364</v>
      </c>
      <c r="G405" s="25" t="s">
        <v>109</v>
      </c>
      <c r="H405" s="24">
        <v>7.0000000000000007E-2</v>
      </c>
      <c r="I405" s="25" t="s">
        <v>197</v>
      </c>
      <c r="J405" s="25" t="s">
        <v>7</v>
      </c>
      <c r="K405" s="25" t="s">
        <v>9</v>
      </c>
      <c r="L405" s="25">
        <f t="shared" si="34"/>
        <v>696</v>
      </c>
      <c r="M405" s="4" t="str">
        <f>IF(Table3[[#This Row],[Afrondingsdatum YB]]="N/A","-",Table3[[#This Row],[Afrondingsdatum YB]]-Table3[[#This Row],[StartDatum]])</f>
        <v>-</v>
      </c>
      <c r="N405" s="4"/>
      <c r="O405">
        <f t="shared" si="38"/>
        <v>115</v>
      </c>
      <c r="P405">
        <f t="shared" si="37"/>
        <v>101</v>
      </c>
      <c r="Q405">
        <f t="shared" si="37"/>
        <v>109</v>
      </c>
      <c r="R405">
        <f t="shared" si="37"/>
        <v>46</v>
      </c>
      <c r="S405">
        <f t="shared" si="37"/>
        <v>118</v>
      </c>
      <c r="T405">
        <f t="shared" si="37"/>
        <v>97</v>
      </c>
      <c r="U405">
        <f t="shared" si="37"/>
        <v>110</v>
      </c>
      <c r="V405">
        <f t="shared" si="37"/>
        <v>46</v>
      </c>
      <c r="W405" s="5">
        <f t="shared" si="35"/>
        <v>875</v>
      </c>
      <c r="X405" s="9" t="str">
        <f t="shared" si="36"/>
        <v>e875</v>
      </c>
    </row>
    <row r="406" spans="1:24" x14ac:dyDescent="0.2">
      <c r="A406" s="9" t="s">
        <v>425</v>
      </c>
      <c r="B406" s="9">
        <v>1</v>
      </c>
      <c r="C406" s="22">
        <v>7</v>
      </c>
      <c r="D406" s="25"/>
      <c r="E406" s="18">
        <v>45215</v>
      </c>
      <c r="F406" s="18" t="s">
        <v>362</v>
      </c>
      <c r="G406" s="20" t="s">
        <v>63</v>
      </c>
      <c r="H406" s="19">
        <v>0</v>
      </c>
      <c r="I406" s="20" t="s">
        <v>76</v>
      </c>
      <c r="J406" s="20" t="s">
        <v>7</v>
      </c>
      <c r="K406" s="20" t="s">
        <v>9</v>
      </c>
      <c r="L406" s="20">
        <f t="shared" si="34"/>
        <v>673</v>
      </c>
      <c r="M406" s="4" t="str">
        <f>IF(Table3[[#This Row],[Afrondingsdatum YB]]="N/A","-",Table3[[#This Row],[Afrondingsdatum YB]]-Table3[[#This Row],[StartDatum]])</f>
        <v>-</v>
      </c>
      <c r="N406" s="4"/>
      <c r="O406">
        <f t="shared" si="38"/>
        <v>83</v>
      </c>
      <c r="P406">
        <f t="shared" si="37"/>
        <v>121</v>
      </c>
      <c r="Q406">
        <f t="shared" si="37"/>
        <v>98</v>
      </c>
      <c r="R406">
        <f t="shared" si="37"/>
        <v>114</v>
      </c>
      <c r="S406">
        <f t="shared" si="37"/>
        <v>101</v>
      </c>
      <c r="T406">
        <f t="shared" si="37"/>
        <v>110</v>
      </c>
      <c r="U406">
        <f t="shared" si="37"/>
        <v>46</v>
      </c>
      <c r="V406">
        <f t="shared" si="37"/>
        <v>104</v>
      </c>
      <c r="W406" s="5">
        <f t="shared" si="35"/>
        <v>827</v>
      </c>
      <c r="X406" s="9" t="str">
        <f t="shared" si="36"/>
        <v>y827</v>
      </c>
    </row>
    <row r="407" spans="1:24" x14ac:dyDescent="0.2">
      <c r="A407" s="9" t="s">
        <v>425</v>
      </c>
      <c r="B407" s="9">
        <v>1</v>
      </c>
      <c r="C407" s="22">
        <v>7</v>
      </c>
      <c r="D407" s="25"/>
      <c r="E407" s="23">
        <v>45215</v>
      </c>
      <c r="F407" s="23" t="s">
        <v>363</v>
      </c>
      <c r="G407" s="25" t="s">
        <v>64</v>
      </c>
      <c r="H407" s="24">
        <v>0.02</v>
      </c>
      <c r="I407" s="25" t="s">
        <v>92</v>
      </c>
      <c r="J407" s="25" t="s">
        <v>7</v>
      </c>
      <c r="K407" s="25" t="s">
        <v>9</v>
      </c>
      <c r="L407" s="25">
        <f t="shared" si="34"/>
        <v>709</v>
      </c>
      <c r="M407" s="4" t="str">
        <f>IF(Table3[[#This Row],[Afrondingsdatum YB]]="N/A","-",Table3[[#This Row],[Afrondingsdatum YB]]-Table3[[#This Row],[StartDatum]])</f>
        <v>-</v>
      </c>
      <c r="N407" s="4"/>
      <c r="O407">
        <f t="shared" si="38"/>
        <v>116</v>
      </c>
      <c r="P407">
        <f t="shared" si="37"/>
        <v>101</v>
      </c>
      <c r="Q407">
        <f t="shared" si="37"/>
        <v>117</v>
      </c>
      <c r="R407">
        <f t="shared" si="37"/>
        <v>110</v>
      </c>
      <c r="S407">
        <f t="shared" si="37"/>
        <v>46</v>
      </c>
      <c r="T407">
        <f t="shared" si="37"/>
        <v>114</v>
      </c>
      <c r="U407">
        <f t="shared" si="37"/>
        <v>105</v>
      </c>
      <c r="V407">
        <f t="shared" si="37"/>
        <v>110</v>
      </c>
      <c r="W407" s="5">
        <f t="shared" si="35"/>
        <v>920</v>
      </c>
      <c r="X407" s="9" t="str">
        <f t="shared" si="36"/>
        <v>e920</v>
      </c>
    </row>
    <row r="408" spans="1:24" x14ac:dyDescent="0.2">
      <c r="A408" s="9" t="s">
        <v>425</v>
      </c>
      <c r="B408" s="9">
        <v>1</v>
      </c>
      <c r="C408" s="22">
        <v>7</v>
      </c>
      <c r="D408" s="25"/>
      <c r="E408" s="18">
        <v>45215</v>
      </c>
      <c r="F408" s="18" t="s">
        <v>362</v>
      </c>
      <c r="G408" s="20" t="s">
        <v>132</v>
      </c>
      <c r="H408" s="19">
        <v>0.13</v>
      </c>
      <c r="I408" s="20" t="s">
        <v>198</v>
      </c>
      <c r="J408" s="20" t="s">
        <v>7</v>
      </c>
      <c r="K408" s="20" t="s">
        <v>9</v>
      </c>
      <c r="L408" s="20">
        <f t="shared" si="34"/>
        <v>697</v>
      </c>
      <c r="M408" s="4" t="str">
        <f>IF(Table3[[#This Row],[Afrondingsdatum YB]]="N/A","-",Table3[[#This Row],[Afrondingsdatum YB]]-Table3[[#This Row],[StartDatum]])</f>
        <v>-</v>
      </c>
      <c r="N408" s="4"/>
      <c r="O408">
        <f t="shared" si="38"/>
        <v>116</v>
      </c>
      <c r="P408">
        <f t="shared" si="37"/>
        <v>104</v>
      </c>
      <c r="Q408">
        <f t="shared" si="37"/>
        <v>105</v>
      </c>
      <c r="R408">
        <f t="shared" si="37"/>
        <v>114</v>
      </c>
      <c r="S408">
        <f t="shared" si="37"/>
        <v>115</v>
      </c>
      <c r="T408">
        <f t="shared" si="37"/>
        <v>97</v>
      </c>
      <c r="U408">
        <f t="shared" si="37"/>
        <v>46</v>
      </c>
      <c r="V408">
        <f t="shared" si="37"/>
        <v>108</v>
      </c>
      <c r="W408" s="5">
        <f t="shared" si="35"/>
        <v>878</v>
      </c>
      <c r="X408" s="9" t="str">
        <f t="shared" si="36"/>
        <v>h878</v>
      </c>
    </row>
    <row r="409" spans="1:24" x14ac:dyDescent="0.2">
      <c r="A409" s="9" t="s">
        <v>425</v>
      </c>
      <c r="B409" s="9">
        <v>1</v>
      </c>
      <c r="C409" s="22">
        <v>7</v>
      </c>
      <c r="D409" s="25"/>
      <c r="E409" s="23">
        <v>45215</v>
      </c>
      <c r="F409" s="23" t="s">
        <v>364</v>
      </c>
      <c r="G409" s="25" t="s">
        <v>133</v>
      </c>
      <c r="H409" s="24">
        <v>0</v>
      </c>
      <c r="I409" s="25" t="s">
        <v>8</v>
      </c>
      <c r="J409" s="25" t="s">
        <v>7</v>
      </c>
      <c r="K409" s="25" t="s">
        <v>9</v>
      </c>
      <c r="L409" s="25">
        <f t="shared" si="34"/>
        <v>713</v>
      </c>
      <c r="M409" s="4" t="str">
        <f>IF(Table3[[#This Row],[Afrondingsdatum YB]]="N/A","-",Table3[[#This Row],[Afrondingsdatum YB]]-Table3[[#This Row],[StartDatum]])</f>
        <v>-</v>
      </c>
      <c r="N409" s="4"/>
      <c r="O409">
        <f t="shared" si="38"/>
        <v>116</v>
      </c>
      <c r="P409">
        <f t="shared" si="37"/>
        <v>121</v>
      </c>
      <c r="Q409">
        <f t="shared" si="37"/>
        <v>108</v>
      </c>
      <c r="R409">
        <f t="shared" si="37"/>
        <v>101</v>
      </c>
      <c r="S409">
        <f t="shared" si="37"/>
        <v>114</v>
      </c>
      <c r="T409">
        <f t="shared" si="37"/>
        <v>46</v>
      </c>
      <c r="U409">
        <f t="shared" si="37"/>
        <v>107</v>
      </c>
      <c r="V409">
        <f t="shared" si="37"/>
        <v>111</v>
      </c>
      <c r="W409" s="5">
        <f t="shared" si="35"/>
        <v>904</v>
      </c>
      <c r="X409" s="9" t="str">
        <f t="shared" si="36"/>
        <v>y904</v>
      </c>
    </row>
    <row r="410" spans="1:24" x14ac:dyDescent="0.2">
      <c r="A410" s="9" t="s">
        <v>425</v>
      </c>
      <c r="B410" s="9">
        <v>1</v>
      </c>
      <c r="C410" s="22">
        <v>7</v>
      </c>
      <c r="D410" s="25"/>
      <c r="E410" s="18">
        <v>45215</v>
      </c>
      <c r="F410" s="18" t="s">
        <v>364</v>
      </c>
      <c r="G410" s="20" t="s">
        <v>65</v>
      </c>
      <c r="H410" s="19">
        <v>0.62</v>
      </c>
      <c r="I410" s="20" t="s">
        <v>199</v>
      </c>
      <c r="J410" s="20" t="s">
        <v>7</v>
      </c>
      <c r="K410" s="20" t="s">
        <v>9</v>
      </c>
      <c r="L410" s="20">
        <f t="shared" si="34"/>
        <v>711</v>
      </c>
      <c r="M410" s="4" t="str">
        <f>IF(Table3[[#This Row],[Afrondingsdatum YB]]="N/A","-",Table3[[#This Row],[Afrondingsdatum YB]]-Table3[[#This Row],[StartDatum]])</f>
        <v>-</v>
      </c>
      <c r="N410" s="4"/>
      <c r="O410">
        <f t="shared" si="38"/>
        <v>119</v>
      </c>
      <c r="P410">
        <f t="shared" si="37"/>
        <v>101</v>
      </c>
      <c r="Q410">
        <f t="shared" si="37"/>
        <v>115</v>
      </c>
      <c r="R410">
        <f t="shared" si="37"/>
        <v>108</v>
      </c>
      <c r="S410">
        <f t="shared" si="37"/>
        <v>101</v>
      </c>
      <c r="T410">
        <f t="shared" si="37"/>
        <v>121</v>
      </c>
      <c r="U410">
        <f t="shared" si="37"/>
        <v>46</v>
      </c>
      <c r="V410">
        <f t="shared" si="37"/>
        <v>99</v>
      </c>
      <c r="W410" s="5">
        <f t="shared" si="35"/>
        <v>909</v>
      </c>
      <c r="X410" s="9" t="str">
        <f t="shared" si="36"/>
        <v>e909</v>
      </c>
    </row>
    <row r="411" spans="1:24" x14ac:dyDescent="0.2">
      <c r="A411" s="9" t="s">
        <v>425</v>
      </c>
      <c r="B411" s="9">
        <v>1</v>
      </c>
      <c r="C411" s="22">
        <v>7</v>
      </c>
      <c r="D411" s="25"/>
      <c r="E411" s="23">
        <v>45215</v>
      </c>
      <c r="F411" s="23" t="s">
        <v>364</v>
      </c>
      <c r="G411" s="25" t="s">
        <v>66</v>
      </c>
      <c r="H411" s="24">
        <v>0.17</v>
      </c>
      <c r="I411" s="25" t="s">
        <v>106</v>
      </c>
      <c r="J411" s="25" t="s">
        <v>7</v>
      </c>
      <c r="K411" s="25" t="s">
        <v>9</v>
      </c>
      <c r="L411" s="25">
        <f t="shared" si="34"/>
        <v>697</v>
      </c>
      <c r="M411" s="4" t="str">
        <f>IF(Table3[[#This Row],[Afrondingsdatum YB]]="N/A","-",Table3[[#This Row],[Afrondingsdatum YB]]-Table3[[#This Row],[StartDatum]])</f>
        <v>-</v>
      </c>
      <c r="N411" s="4"/>
      <c r="O411">
        <f t="shared" si="38"/>
        <v>121</v>
      </c>
      <c r="P411">
        <f t="shared" si="37"/>
        <v>97</v>
      </c>
      <c r="Q411">
        <f t="shared" si="37"/>
        <v>115</v>
      </c>
      <c r="R411">
        <f t="shared" si="37"/>
        <v>105</v>
      </c>
      <c r="S411">
        <f t="shared" si="37"/>
        <v>110</v>
      </c>
      <c r="T411">
        <f t="shared" si="37"/>
        <v>46</v>
      </c>
      <c r="U411">
        <f t="shared" si="37"/>
        <v>103</v>
      </c>
      <c r="V411">
        <f t="shared" si="37"/>
        <v>111</v>
      </c>
      <c r="W411" s="5">
        <f t="shared" si="35"/>
        <v>911</v>
      </c>
      <c r="X411" s="9" t="str">
        <f t="shared" si="36"/>
        <v>a911</v>
      </c>
    </row>
    <row r="412" spans="1:24" x14ac:dyDescent="0.2">
      <c r="A412" s="9" t="s">
        <v>425</v>
      </c>
      <c r="B412" s="9">
        <v>1</v>
      </c>
      <c r="C412" s="22">
        <v>7</v>
      </c>
      <c r="D412" s="25"/>
      <c r="E412" s="18">
        <v>45215</v>
      </c>
      <c r="F412" s="18" t="s">
        <v>364</v>
      </c>
      <c r="G412" s="20" t="s">
        <v>67</v>
      </c>
      <c r="H412" s="19">
        <v>0.98</v>
      </c>
      <c r="I412" s="20" t="s">
        <v>159</v>
      </c>
      <c r="J412" s="20" t="s">
        <v>7</v>
      </c>
      <c r="K412" s="20" t="s">
        <v>9</v>
      </c>
      <c r="L412" s="20">
        <f t="shared" si="34"/>
        <v>764</v>
      </c>
      <c r="M412" s="4" t="str">
        <f>IF(Table3[[#This Row],[Afrondingsdatum YB]]="N/A","-",Table3[[#This Row],[Afrondingsdatum YB]]-Table3[[#This Row],[StartDatum]])</f>
        <v>-</v>
      </c>
      <c r="N412" s="4"/>
      <c r="O412">
        <f t="shared" si="38"/>
        <v>121</v>
      </c>
      <c r="P412">
        <f t="shared" si="37"/>
        <v>97</v>
      </c>
      <c r="Q412">
        <f t="shared" si="37"/>
        <v>115</v>
      </c>
      <c r="R412">
        <f t="shared" si="37"/>
        <v>115</v>
      </c>
      <c r="S412">
        <f t="shared" si="37"/>
        <v>105</v>
      </c>
      <c r="T412">
        <f t="shared" si="37"/>
        <v>110</v>
      </c>
      <c r="U412">
        <f t="shared" si="37"/>
        <v>101</v>
      </c>
      <c r="V412">
        <f t="shared" si="37"/>
        <v>46</v>
      </c>
      <c r="W412" s="5">
        <f t="shared" si="35"/>
        <v>905</v>
      </c>
      <c r="X412" s="9" t="str">
        <f t="shared" si="36"/>
        <v>a905</v>
      </c>
    </row>
    <row r="413" spans="1:24" x14ac:dyDescent="0.2">
      <c r="A413" s="9" t="s">
        <v>425</v>
      </c>
      <c r="B413" s="9">
        <v>1</v>
      </c>
      <c r="C413" s="22">
        <v>7</v>
      </c>
      <c r="D413" s="25"/>
      <c r="E413" s="23">
        <v>45215</v>
      </c>
      <c r="F413" s="23" t="s">
        <v>363</v>
      </c>
      <c r="G413" s="25" t="s">
        <v>68</v>
      </c>
      <c r="H413" s="24">
        <v>0.27</v>
      </c>
      <c r="I413" s="25" t="s">
        <v>200</v>
      </c>
      <c r="J413" s="25" t="s">
        <v>7</v>
      </c>
      <c r="K413" s="25" t="s">
        <v>9</v>
      </c>
      <c r="L413" s="25">
        <f t="shared" si="34"/>
        <v>721</v>
      </c>
      <c r="M413" s="4" t="str">
        <f>IF(Table3[[#This Row],[Afrondingsdatum YB]]="N/A","-",Table3[[#This Row],[Afrondingsdatum YB]]-Table3[[#This Row],[StartDatum]])</f>
        <v>-</v>
      </c>
      <c r="N413" s="4"/>
      <c r="O413">
        <f t="shared" si="38"/>
        <v>121</v>
      </c>
      <c r="P413">
        <f t="shared" si="37"/>
        <v>111</v>
      </c>
      <c r="Q413">
        <f t="shared" si="37"/>
        <v>117</v>
      </c>
      <c r="R413">
        <f t="shared" si="37"/>
        <v>114</v>
      </c>
      <c r="S413">
        <f t="shared" si="37"/>
        <v>105</v>
      </c>
      <c r="T413">
        <f t="shared" si="37"/>
        <v>46</v>
      </c>
      <c r="U413">
        <f t="shared" si="37"/>
        <v>107</v>
      </c>
      <c r="V413">
        <f t="shared" si="37"/>
        <v>101</v>
      </c>
      <c r="W413" s="5">
        <f t="shared" si="35"/>
        <v>915</v>
      </c>
      <c r="X413" s="9" t="str">
        <f t="shared" si="36"/>
        <v>o915</v>
      </c>
    </row>
    <row r="414" spans="1:24" x14ac:dyDescent="0.2">
      <c r="A414" s="9" t="s">
        <v>425</v>
      </c>
      <c r="B414" s="9">
        <v>1</v>
      </c>
      <c r="C414" s="17">
        <v>8</v>
      </c>
      <c r="D414" s="20"/>
      <c r="E414" s="18">
        <v>45222</v>
      </c>
      <c r="F414" s="18" t="s">
        <v>363</v>
      </c>
      <c r="G414" s="20" t="s">
        <v>10</v>
      </c>
      <c r="H414" s="19">
        <v>1</v>
      </c>
      <c r="I414" s="20" t="s">
        <v>110</v>
      </c>
      <c r="J414" s="34">
        <v>45197</v>
      </c>
      <c r="K414" s="19">
        <v>0.98</v>
      </c>
      <c r="L414" s="20">
        <f t="shared" si="34"/>
        <v>662</v>
      </c>
      <c r="M414" s="4">
        <f>IF(Table3[[#This Row],[Afrondingsdatum YB]]="N/A","-",Table3[[#This Row],[Afrondingsdatum YB]]-Table3[[#This Row],[StartDatum]])</f>
        <v>45197</v>
      </c>
      <c r="N414" s="4"/>
      <c r="O414">
        <f t="shared" si="38"/>
        <v>97</v>
      </c>
      <c r="P414">
        <f t="shared" si="37"/>
        <v>100</v>
      </c>
      <c r="Q414">
        <f t="shared" si="37"/>
        <v>97</v>
      </c>
      <c r="R414">
        <f t="shared" si="37"/>
        <v>109</v>
      </c>
      <c r="S414">
        <f t="shared" si="37"/>
        <v>46</v>
      </c>
      <c r="T414">
        <f t="shared" si="37"/>
        <v>97</v>
      </c>
      <c r="U414">
        <f t="shared" si="37"/>
        <v>116</v>
      </c>
      <c r="V414">
        <f t="shared" si="37"/>
        <v>116</v>
      </c>
      <c r="W414" s="5">
        <f t="shared" si="35"/>
        <v>840</v>
      </c>
      <c r="X414" s="9" t="str">
        <f t="shared" si="36"/>
        <v>d840</v>
      </c>
    </row>
    <row r="415" spans="1:24" x14ac:dyDescent="0.2">
      <c r="A415" s="9" t="s">
        <v>425</v>
      </c>
      <c r="B415" s="9">
        <v>1</v>
      </c>
      <c r="C415" s="17">
        <v>8</v>
      </c>
      <c r="D415" s="20"/>
      <c r="E415" s="23">
        <v>45222</v>
      </c>
      <c r="F415" s="23" t="s">
        <v>362</v>
      </c>
      <c r="G415" s="25" t="s">
        <v>11</v>
      </c>
      <c r="H415" s="24">
        <v>0.03</v>
      </c>
      <c r="I415" s="25" t="s">
        <v>111</v>
      </c>
      <c r="J415" s="25" t="s">
        <v>7</v>
      </c>
      <c r="K415" s="25" t="s">
        <v>9</v>
      </c>
      <c r="L415" s="25">
        <f t="shared" si="34"/>
        <v>641</v>
      </c>
      <c r="M415" s="4" t="str">
        <f>IF(Table3[[#This Row],[Afrondingsdatum YB]]="N/A","-",Table3[[#This Row],[Afrondingsdatum YB]]-Table3[[#This Row],[StartDatum]])</f>
        <v>-</v>
      </c>
      <c r="N415" s="4"/>
      <c r="O415">
        <f t="shared" si="38"/>
        <v>65</v>
      </c>
      <c r="P415">
        <f t="shared" si="37"/>
        <v>100</v>
      </c>
      <c r="Q415">
        <f t="shared" si="37"/>
        <v>105</v>
      </c>
      <c r="R415">
        <f t="shared" si="37"/>
        <v>108</v>
      </c>
      <c r="S415">
        <f t="shared" si="37"/>
        <v>46</v>
      </c>
      <c r="T415">
        <f t="shared" si="37"/>
        <v>106</v>
      </c>
      <c r="U415">
        <f t="shared" si="37"/>
        <v>111</v>
      </c>
      <c r="V415">
        <f t="shared" si="37"/>
        <v>117</v>
      </c>
      <c r="W415" s="5">
        <f t="shared" si="35"/>
        <v>837</v>
      </c>
      <c r="X415" s="9" t="str">
        <f t="shared" si="36"/>
        <v>d837</v>
      </c>
    </row>
    <row r="416" spans="1:24" x14ac:dyDescent="0.2">
      <c r="A416" s="9" t="s">
        <v>425</v>
      </c>
      <c r="B416" s="9">
        <v>1</v>
      </c>
      <c r="C416" s="17">
        <v>8</v>
      </c>
      <c r="D416" s="20"/>
      <c r="E416" s="18">
        <v>45222</v>
      </c>
      <c r="F416" s="18" t="s">
        <v>364</v>
      </c>
      <c r="G416" s="20" t="s">
        <v>12</v>
      </c>
      <c r="H416" s="19">
        <v>1</v>
      </c>
      <c r="I416" s="20" t="s">
        <v>140</v>
      </c>
      <c r="J416" s="34">
        <v>45219</v>
      </c>
      <c r="K416" s="19">
        <v>0.73</v>
      </c>
      <c r="L416" s="20">
        <f t="shared" si="34"/>
        <v>677</v>
      </c>
      <c r="M416" s="4">
        <f>IF(Table3[[#This Row],[Afrondingsdatum YB]]="N/A","-",Table3[[#This Row],[Afrondingsdatum YB]]-Table3[[#This Row],[StartDatum]])</f>
        <v>45219</v>
      </c>
      <c r="N416" s="4"/>
      <c r="O416">
        <f t="shared" si="38"/>
        <v>97</v>
      </c>
      <c r="P416">
        <f t="shared" si="37"/>
        <v>103</v>
      </c>
      <c r="Q416">
        <f t="shared" si="37"/>
        <v>104</v>
      </c>
      <c r="R416">
        <f t="shared" si="37"/>
        <v>105</v>
      </c>
      <c r="S416">
        <f t="shared" si="37"/>
        <v>108</v>
      </c>
      <c r="T416">
        <f t="shared" si="37"/>
        <v>46</v>
      </c>
      <c r="U416">
        <f t="shared" si="37"/>
        <v>114</v>
      </c>
      <c r="V416">
        <f t="shared" si="37"/>
        <v>101</v>
      </c>
      <c r="W416" s="5">
        <f t="shared" si="35"/>
        <v>856</v>
      </c>
      <c r="X416" s="9" t="str">
        <f t="shared" si="36"/>
        <v>g856</v>
      </c>
    </row>
    <row r="417" spans="1:24" x14ac:dyDescent="0.2">
      <c r="A417" s="9" t="s">
        <v>425</v>
      </c>
      <c r="B417" s="9">
        <v>1</v>
      </c>
      <c r="C417" s="17">
        <v>8</v>
      </c>
      <c r="D417" s="20"/>
      <c r="E417" s="23">
        <v>45222</v>
      </c>
      <c r="F417" s="23" t="s">
        <v>362</v>
      </c>
      <c r="G417" s="25" t="s">
        <v>113</v>
      </c>
      <c r="H417" s="24">
        <v>0.13</v>
      </c>
      <c r="I417" s="25" t="s">
        <v>145</v>
      </c>
      <c r="J417" s="25" t="s">
        <v>7</v>
      </c>
      <c r="K417" s="25" t="s">
        <v>9</v>
      </c>
      <c r="L417" s="25">
        <f t="shared" si="34"/>
        <v>670</v>
      </c>
      <c r="M417" s="4" t="str">
        <f>IF(Table3[[#This Row],[Afrondingsdatum YB]]="N/A","-",Table3[[#This Row],[Afrondingsdatum YB]]-Table3[[#This Row],[StartDatum]])</f>
        <v>-</v>
      </c>
      <c r="N417" s="4"/>
      <c r="O417">
        <f t="shared" si="38"/>
        <v>97</v>
      </c>
      <c r="P417">
        <f t="shared" si="37"/>
        <v>109</v>
      </c>
      <c r="Q417">
        <f t="shared" si="37"/>
        <v>105</v>
      </c>
      <c r="R417">
        <f t="shared" si="37"/>
        <v>110</v>
      </c>
      <c r="S417">
        <f t="shared" si="37"/>
        <v>46</v>
      </c>
      <c r="T417">
        <f t="shared" si="37"/>
        <v>99</v>
      </c>
      <c r="U417">
        <f t="shared" si="37"/>
        <v>104</v>
      </c>
      <c r="V417">
        <f t="shared" si="37"/>
        <v>101</v>
      </c>
      <c r="W417" s="5">
        <f t="shared" si="35"/>
        <v>844</v>
      </c>
      <c r="X417" s="9" t="str">
        <f t="shared" si="36"/>
        <v>m844</v>
      </c>
    </row>
    <row r="418" spans="1:24" x14ac:dyDescent="0.2">
      <c r="A418" s="9" t="s">
        <v>425</v>
      </c>
      <c r="B418" s="9">
        <v>1</v>
      </c>
      <c r="C418" s="17">
        <v>8</v>
      </c>
      <c r="D418" s="20"/>
      <c r="E418" s="18">
        <v>45222</v>
      </c>
      <c r="F418" s="18" t="s">
        <v>364</v>
      </c>
      <c r="G418" s="20" t="s">
        <v>13</v>
      </c>
      <c r="H418" s="19">
        <v>0.99</v>
      </c>
      <c r="I418" s="20" t="s">
        <v>97</v>
      </c>
      <c r="J418" s="20" t="s">
        <v>7</v>
      </c>
      <c r="K418" s="20" t="s">
        <v>9</v>
      </c>
      <c r="L418" s="20">
        <f t="shared" si="34"/>
        <v>669</v>
      </c>
      <c r="M418" s="4" t="str">
        <f>IF(Table3[[#This Row],[Afrondingsdatum YB]]="N/A","-",Table3[[#This Row],[Afrondingsdatum YB]]-Table3[[#This Row],[StartDatum]])</f>
        <v>-</v>
      </c>
      <c r="N418" s="4"/>
      <c r="O418">
        <f t="shared" si="38"/>
        <v>97</v>
      </c>
      <c r="P418">
        <f t="shared" si="37"/>
        <v>109</v>
      </c>
      <c r="Q418">
        <f t="shared" si="37"/>
        <v>105</v>
      </c>
      <c r="R418">
        <f t="shared" si="37"/>
        <v>110</v>
      </c>
      <c r="S418">
        <f t="shared" si="37"/>
        <v>101</v>
      </c>
      <c r="T418">
        <f t="shared" si="37"/>
        <v>46</v>
      </c>
      <c r="U418">
        <f t="shared" si="37"/>
        <v>101</v>
      </c>
      <c r="V418">
        <f t="shared" si="37"/>
        <v>108</v>
      </c>
      <c r="W418" s="5">
        <f t="shared" si="35"/>
        <v>850</v>
      </c>
      <c r="X418" s="9" t="str">
        <f t="shared" si="36"/>
        <v>m850</v>
      </c>
    </row>
    <row r="419" spans="1:24" x14ac:dyDescent="0.2">
      <c r="A419" s="9" t="s">
        <v>425</v>
      </c>
      <c r="B419" s="9">
        <v>1</v>
      </c>
      <c r="C419" s="17">
        <v>8</v>
      </c>
      <c r="D419" s="20"/>
      <c r="E419" s="23">
        <v>45222</v>
      </c>
      <c r="F419" s="23" t="s">
        <v>363</v>
      </c>
      <c r="G419" s="25" t="s">
        <v>14</v>
      </c>
      <c r="H419" s="24">
        <v>0.68</v>
      </c>
      <c r="I419" s="25" t="s">
        <v>166</v>
      </c>
      <c r="J419" s="25" t="s">
        <v>7</v>
      </c>
      <c r="K419" s="25" t="s">
        <v>9</v>
      </c>
      <c r="L419" s="25">
        <f t="shared" si="34"/>
        <v>676</v>
      </c>
      <c r="M419" s="4" t="str">
        <f>IF(Table3[[#This Row],[Afrondingsdatum YB]]="N/A","-",Table3[[#This Row],[Afrondingsdatum YB]]-Table3[[#This Row],[StartDatum]])</f>
        <v>-</v>
      </c>
      <c r="N419" s="4"/>
      <c r="O419">
        <f t="shared" si="38"/>
        <v>97</v>
      </c>
      <c r="P419">
        <f t="shared" si="37"/>
        <v>110</v>
      </c>
      <c r="Q419">
        <f t="shared" si="37"/>
        <v>103</v>
      </c>
      <c r="R419">
        <f t="shared" si="37"/>
        <v>101</v>
      </c>
      <c r="S419">
        <f t="shared" si="37"/>
        <v>108</v>
      </c>
      <c r="T419">
        <f t="shared" si="37"/>
        <v>111</v>
      </c>
      <c r="U419">
        <f t="shared" si="37"/>
        <v>46</v>
      </c>
      <c r="V419">
        <f t="shared" si="37"/>
        <v>115</v>
      </c>
      <c r="W419" s="5">
        <f t="shared" si="35"/>
        <v>866</v>
      </c>
      <c r="X419" s="9" t="str">
        <f t="shared" si="36"/>
        <v>n866</v>
      </c>
    </row>
    <row r="420" spans="1:24" x14ac:dyDescent="0.2">
      <c r="A420" s="9" t="s">
        <v>425</v>
      </c>
      <c r="B420" s="9">
        <v>1</v>
      </c>
      <c r="C420" s="17">
        <v>8</v>
      </c>
      <c r="D420" s="20"/>
      <c r="E420" s="18">
        <v>45222</v>
      </c>
      <c r="F420" s="18" t="s">
        <v>362</v>
      </c>
      <c r="G420" s="20" t="s">
        <v>15</v>
      </c>
      <c r="H420" s="19">
        <v>0.33</v>
      </c>
      <c r="I420" s="20" t="s">
        <v>201</v>
      </c>
      <c r="J420" s="20" t="s">
        <v>7</v>
      </c>
      <c r="K420" s="20" t="s">
        <v>9</v>
      </c>
      <c r="L420" s="20">
        <f t="shared" si="34"/>
        <v>755</v>
      </c>
      <c r="M420" s="4" t="str">
        <f>IF(Table3[[#This Row],[Afrondingsdatum YB]]="N/A","-",Table3[[#This Row],[Afrondingsdatum YB]]-Table3[[#This Row],[StartDatum]])</f>
        <v>-</v>
      </c>
      <c r="N420" s="4"/>
      <c r="O420">
        <f t="shared" si="38"/>
        <v>97</v>
      </c>
      <c r="P420">
        <f t="shared" si="37"/>
        <v>115</v>
      </c>
      <c r="Q420">
        <f t="shared" si="37"/>
        <v>104</v>
      </c>
      <c r="R420">
        <f t="shared" si="37"/>
        <v>111</v>
      </c>
      <c r="S420">
        <f t="shared" si="37"/>
        <v>101</v>
      </c>
      <c r="T420">
        <f t="shared" si="37"/>
        <v>116</v>
      </c>
      <c r="U420">
        <f t="shared" si="37"/>
        <v>111</v>
      </c>
      <c r="V420">
        <f t="shared" si="37"/>
        <v>115</v>
      </c>
      <c r="W420" s="5">
        <f t="shared" si="35"/>
        <v>937</v>
      </c>
      <c r="X420" s="9" t="str">
        <f t="shared" si="36"/>
        <v>s937</v>
      </c>
    </row>
    <row r="421" spans="1:24" x14ac:dyDescent="0.2">
      <c r="A421" s="9" t="s">
        <v>425</v>
      </c>
      <c r="B421" s="9">
        <v>1</v>
      </c>
      <c r="C421" s="17">
        <v>8</v>
      </c>
      <c r="D421" s="20"/>
      <c r="E421" s="23">
        <v>45222</v>
      </c>
      <c r="F421" s="23" t="s">
        <v>364</v>
      </c>
      <c r="G421" s="25" t="s">
        <v>16</v>
      </c>
      <c r="H421" s="24">
        <v>0.53</v>
      </c>
      <c r="I421" s="25" t="s">
        <v>143</v>
      </c>
      <c r="J421" s="25" t="s">
        <v>7</v>
      </c>
      <c r="K421" s="25" t="s">
        <v>9</v>
      </c>
      <c r="L421" s="25">
        <f t="shared" si="34"/>
        <v>672</v>
      </c>
      <c r="M421" s="4" t="str">
        <f>IF(Table3[[#This Row],[Afrondingsdatum YB]]="N/A","-",Table3[[#This Row],[Afrondingsdatum YB]]-Table3[[#This Row],[StartDatum]])</f>
        <v>-</v>
      </c>
      <c r="N421" s="4"/>
      <c r="O421">
        <f t="shared" si="38"/>
        <v>97</v>
      </c>
      <c r="P421">
        <f t="shared" si="37"/>
        <v>121</v>
      </c>
      <c r="Q421">
        <f t="shared" si="37"/>
        <v>100</v>
      </c>
      <c r="R421">
        <f t="shared" si="37"/>
        <v>101</v>
      </c>
      <c r="S421">
        <f t="shared" si="37"/>
        <v>110</v>
      </c>
      <c r="T421">
        <f t="shared" si="37"/>
        <v>46</v>
      </c>
      <c r="U421">
        <f t="shared" si="37"/>
        <v>97</v>
      </c>
      <c r="V421">
        <f t="shared" si="37"/>
        <v>110</v>
      </c>
      <c r="W421" s="5">
        <f t="shared" si="35"/>
        <v>846</v>
      </c>
      <c r="X421" s="9" t="str">
        <f t="shared" si="36"/>
        <v>y846</v>
      </c>
    </row>
    <row r="422" spans="1:24" x14ac:dyDescent="0.2">
      <c r="A422" s="9" t="s">
        <v>425</v>
      </c>
      <c r="B422" s="9">
        <v>1</v>
      </c>
      <c r="C422" s="17">
        <v>8</v>
      </c>
      <c r="D422" s="20"/>
      <c r="E422" s="18">
        <v>45222</v>
      </c>
      <c r="F422" s="18" t="s">
        <v>362</v>
      </c>
      <c r="G422" s="20" t="s">
        <v>17</v>
      </c>
      <c r="H422" s="19">
        <v>7.0000000000000007E-2</v>
      </c>
      <c r="I422" s="20" t="s">
        <v>168</v>
      </c>
      <c r="J422" s="20" t="s">
        <v>7</v>
      </c>
      <c r="K422" s="20" t="s">
        <v>9</v>
      </c>
      <c r="L422" s="20">
        <f t="shared" si="34"/>
        <v>707</v>
      </c>
      <c r="M422" s="4" t="str">
        <f>IF(Table3[[#This Row],[Afrondingsdatum YB]]="N/A","-",Table3[[#This Row],[Afrondingsdatum YB]]-Table3[[#This Row],[StartDatum]])</f>
        <v>-</v>
      </c>
      <c r="N422" s="4"/>
      <c r="O422">
        <f t="shared" si="38"/>
        <v>98</v>
      </c>
      <c r="P422">
        <f t="shared" si="37"/>
        <v>101</v>
      </c>
      <c r="Q422">
        <f t="shared" si="37"/>
        <v>116</v>
      </c>
      <c r="R422">
        <f t="shared" si="37"/>
        <v>117</v>
      </c>
      <c r="S422">
        <f t="shared" si="37"/>
        <v>108</v>
      </c>
      <c r="T422">
        <f t="shared" si="37"/>
        <v>46</v>
      </c>
      <c r="U422">
        <f t="shared" si="37"/>
        <v>121</v>
      </c>
      <c r="V422">
        <f t="shared" si="37"/>
        <v>117</v>
      </c>
      <c r="W422" s="5">
        <f t="shared" si="35"/>
        <v>918</v>
      </c>
      <c r="X422" s="9" t="str">
        <f t="shared" si="36"/>
        <v>e918</v>
      </c>
    </row>
    <row r="423" spans="1:24" x14ac:dyDescent="0.2">
      <c r="A423" s="9" t="s">
        <v>425</v>
      </c>
      <c r="B423" s="9">
        <v>1</v>
      </c>
      <c r="C423" s="17">
        <v>8</v>
      </c>
      <c r="D423" s="20"/>
      <c r="E423" s="23">
        <v>45222</v>
      </c>
      <c r="F423" s="23" t="s">
        <v>364</v>
      </c>
      <c r="G423" s="25" t="s">
        <v>115</v>
      </c>
      <c r="H423" s="24">
        <v>0</v>
      </c>
      <c r="I423" s="25" t="s">
        <v>8</v>
      </c>
      <c r="J423" s="25" t="s">
        <v>7</v>
      </c>
      <c r="K423" s="25" t="s">
        <v>9</v>
      </c>
      <c r="L423" s="25">
        <f t="shared" si="34"/>
        <v>748</v>
      </c>
      <c r="M423" s="4" t="str">
        <f>IF(Table3[[#This Row],[Afrondingsdatum YB]]="N/A","-",Table3[[#This Row],[Afrondingsdatum YB]]-Table3[[#This Row],[StartDatum]])</f>
        <v>-</v>
      </c>
      <c r="N423" s="4"/>
      <c r="O423">
        <f t="shared" si="38"/>
        <v>98</v>
      </c>
      <c r="P423">
        <f t="shared" si="37"/>
        <v>106</v>
      </c>
      <c r="Q423">
        <f t="shared" si="37"/>
        <v>111</v>
      </c>
      <c r="R423">
        <f t="shared" si="37"/>
        <v>114</v>
      </c>
      <c r="S423">
        <f t="shared" si="37"/>
        <v>110</v>
      </c>
      <c r="T423">
        <f t="shared" si="37"/>
        <v>108</v>
      </c>
      <c r="U423">
        <f t="shared" si="37"/>
        <v>101</v>
      </c>
      <c r="V423">
        <f t="shared" si="37"/>
        <v>118</v>
      </c>
      <c r="W423" s="5">
        <f t="shared" si="35"/>
        <v>950</v>
      </c>
      <c r="X423" s="9" t="str">
        <f t="shared" si="36"/>
        <v>j950</v>
      </c>
    </row>
    <row r="424" spans="1:24" x14ac:dyDescent="0.2">
      <c r="A424" s="9" t="s">
        <v>425</v>
      </c>
      <c r="B424" s="9">
        <v>1</v>
      </c>
      <c r="C424" s="17">
        <v>8</v>
      </c>
      <c r="D424" s="20"/>
      <c r="E424" s="18">
        <v>45222</v>
      </c>
      <c r="F424" s="18" t="s">
        <v>363</v>
      </c>
      <c r="G424" s="20" t="s">
        <v>18</v>
      </c>
      <c r="H424" s="19">
        <v>1</v>
      </c>
      <c r="I424" s="20" t="s">
        <v>202</v>
      </c>
      <c r="J424" s="20" t="s">
        <v>7</v>
      </c>
      <c r="K424" s="20" t="s">
        <v>9</v>
      </c>
      <c r="L424" s="20">
        <f t="shared" si="34"/>
        <v>687</v>
      </c>
      <c r="M424" s="4" t="str">
        <f>IF(Table3[[#This Row],[Afrondingsdatum YB]]="N/A","-",Table3[[#This Row],[Afrondingsdatum YB]]-Table3[[#This Row],[StartDatum]])</f>
        <v>-</v>
      </c>
      <c r="N424" s="4"/>
      <c r="O424">
        <f t="shared" si="38"/>
        <v>98</v>
      </c>
      <c r="P424">
        <f t="shared" si="37"/>
        <v>114</v>
      </c>
      <c r="Q424">
        <f t="shared" si="37"/>
        <v>101</v>
      </c>
      <c r="R424">
        <f t="shared" si="37"/>
        <v>116</v>
      </c>
      <c r="S424">
        <f t="shared" si="37"/>
        <v>104</v>
      </c>
      <c r="T424">
        <f t="shared" si="37"/>
        <v>46</v>
      </c>
      <c r="U424">
        <f t="shared" si="37"/>
        <v>108</v>
      </c>
      <c r="V424">
        <f t="shared" si="37"/>
        <v>97</v>
      </c>
      <c r="W424" s="5">
        <f t="shared" si="35"/>
        <v>842</v>
      </c>
      <c r="X424" s="9" t="str">
        <f t="shared" si="36"/>
        <v>r842</v>
      </c>
    </row>
    <row r="425" spans="1:24" x14ac:dyDescent="0.2">
      <c r="A425" s="9" t="s">
        <v>425</v>
      </c>
      <c r="B425" s="9">
        <v>1</v>
      </c>
      <c r="C425" s="17">
        <v>8</v>
      </c>
      <c r="D425" s="20"/>
      <c r="E425" s="23">
        <v>45222</v>
      </c>
      <c r="F425" s="23" t="s">
        <v>364</v>
      </c>
      <c r="G425" s="25" t="s">
        <v>19</v>
      </c>
      <c r="H425" s="24">
        <v>1</v>
      </c>
      <c r="I425" s="25" t="s">
        <v>170</v>
      </c>
      <c r="J425" s="32">
        <v>45212</v>
      </c>
      <c r="K425" s="24">
        <v>0.83</v>
      </c>
      <c r="L425" s="25">
        <f t="shared" si="34"/>
        <v>733</v>
      </c>
      <c r="M425" s="4">
        <f>IF(Table3[[#This Row],[Afrondingsdatum YB]]="N/A","-",Table3[[#This Row],[Afrondingsdatum YB]]-Table3[[#This Row],[StartDatum]])</f>
        <v>45212</v>
      </c>
      <c r="N425" s="4"/>
      <c r="O425">
        <f t="shared" si="38"/>
        <v>99</v>
      </c>
      <c r="P425">
        <f t="shared" si="37"/>
        <v>104</v>
      </c>
      <c r="Q425">
        <f t="shared" si="37"/>
        <v>97</v>
      </c>
      <c r="R425">
        <f t="shared" si="37"/>
        <v>114</v>
      </c>
      <c r="S425">
        <f t="shared" si="37"/>
        <v>108</v>
      </c>
      <c r="T425">
        <f t="shared" si="37"/>
        <v>101</v>
      </c>
      <c r="U425">
        <f t="shared" si="37"/>
        <v>110</v>
      </c>
      <c r="V425">
        <f t="shared" si="37"/>
        <v>101</v>
      </c>
      <c r="W425" s="5">
        <f t="shared" ref="W425:W488" si="39">ROUND((O425*O$1+P425/P$1+Q425*Q$1+R425/R$1)+SUM(S425:V425),0)</f>
        <v>891</v>
      </c>
      <c r="X425" s="9" t="str">
        <f t="shared" ref="X425:X488" si="40">MID(G425,2,1)&amp;TEXT(W425,"###")</f>
        <v>h891</v>
      </c>
    </row>
    <row r="426" spans="1:24" x14ac:dyDescent="0.2">
      <c r="A426" s="9" t="s">
        <v>425</v>
      </c>
      <c r="B426" s="9">
        <v>1</v>
      </c>
      <c r="C426" s="17">
        <v>8</v>
      </c>
      <c r="D426" s="20"/>
      <c r="E426" s="18">
        <v>45222</v>
      </c>
      <c r="F426" s="18" t="s">
        <v>364</v>
      </c>
      <c r="G426" s="20" t="s">
        <v>20</v>
      </c>
      <c r="H426" s="19">
        <v>1</v>
      </c>
      <c r="I426" s="20" t="s">
        <v>171</v>
      </c>
      <c r="J426" s="34">
        <v>45209</v>
      </c>
      <c r="K426" s="19">
        <v>0.83</v>
      </c>
      <c r="L426" s="20">
        <f t="shared" si="34"/>
        <v>668</v>
      </c>
      <c r="M426" s="4">
        <f>IF(Table3[[#This Row],[Afrondingsdatum YB]]="N/A","-",Table3[[#This Row],[Afrondingsdatum YB]]-Table3[[#This Row],[StartDatum]])</f>
        <v>45209</v>
      </c>
      <c r="N426" s="4"/>
      <c r="O426">
        <f t="shared" si="38"/>
        <v>99</v>
      </c>
      <c r="P426">
        <f t="shared" si="37"/>
        <v>104</v>
      </c>
      <c r="Q426">
        <f t="shared" si="37"/>
        <v>101</v>
      </c>
      <c r="R426">
        <f t="shared" si="37"/>
        <v>110</v>
      </c>
      <c r="S426">
        <f t="shared" si="37"/>
        <v>111</v>
      </c>
      <c r="T426">
        <f t="shared" si="37"/>
        <v>97</v>
      </c>
      <c r="U426">
        <f t="shared" si="37"/>
        <v>46</v>
      </c>
      <c r="V426">
        <f t="shared" si="37"/>
        <v>118</v>
      </c>
      <c r="W426" s="5">
        <f t="shared" si="39"/>
        <v>854</v>
      </c>
      <c r="X426" s="9" t="str">
        <f t="shared" si="40"/>
        <v>h854</v>
      </c>
    </row>
    <row r="427" spans="1:24" x14ac:dyDescent="0.2">
      <c r="A427" s="9" t="s">
        <v>425</v>
      </c>
      <c r="B427" s="9">
        <v>1</v>
      </c>
      <c r="C427" s="17">
        <v>8</v>
      </c>
      <c r="D427" s="20"/>
      <c r="E427" s="23">
        <v>45222</v>
      </c>
      <c r="F427" s="23" t="s">
        <v>364</v>
      </c>
      <c r="G427" s="25" t="s">
        <v>21</v>
      </c>
      <c r="H427" s="24">
        <v>0.53</v>
      </c>
      <c r="I427" s="25" t="s">
        <v>172</v>
      </c>
      <c r="J427" s="25" t="s">
        <v>7</v>
      </c>
      <c r="K427" s="25" t="s">
        <v>9</v>
      </c>
      <c r="L427" s="25">
        <f t="shared" si="34"/>
        <v>681</v>
      </c>
      <c r="M427" s="4" t="str">
        <f>IF(Table3[[#This Row],[Afrondingsdatum YB]]="N/A","-",Table3[[#This Row],[Afrondingsdatum YB]]-Table3[[#This Row],[StartDatum]])</f>
        <v>-</v>
      </c>
      <c r="N427" s="4"/>
      <c r="O427">
        <f t="shared" si="38"/>
        <v>100</v>
      </c>
      <c r="P427">
        <f t="shared" si="37"/>
        <v>97</v>
      </c>
      <c r="Q427">
        <f t="shared" si="37"/>
        <v>115</v>
      </c>
      <c r="R427">
        <f t="shared" si="37"/>
        <v>116</v>
      </c>
      <c r="S427">
        <f t="shared" si="37"/>
        <v>97</v>
      </c>
      <c r="T427">
        <f t="shared" si="37"/>
        <v>110</v>
      </c>
      <c r="U427">
        <f t="shared" si="37"/>
        <v>46</v>
      </c>
      <c r="V427">
        <f t="shared" si="37"/>
        <v>109</v>
      </c>
      <c r="W427" s="5">
        <f t="shared" si="39"/>
        <v>885</v>
      </c>
      <c r="X427" s="9" t="str">
        <f t="shared" si="40"/>
        <v>a885</v>
      </c>
    </row>
    <row r="428" spans="1:24" x14ac:dyDescent="0.2">
      <c r="A428" s="9" t="s">
        <v>425</v>
      </c>
      <c r="B428" s="9">
        <v>1</v>
      </c>
      <c r="C428" s="17">
        <v>8</v>
      </c>
      <c r="D428" s="20"/>
      <c r="E428" s="18">
        <v>45222</v>
      </c>
      <c r="F428" s="18" t="s">
        <v>363</v>
      </c>
      <c r="G428" s="20" t="s">
        <v>22</v>
      </c>
      <c r="H428" s="19">
        <v>0.89</v>
      </c>
      <c r="I428" s="20" t="s">
        <v>87</v>
      </c>
      <c r="J428" s="20" t="s">
        <v>7</v>
      </c>
      <c r="K428" s="20" t="s">
        <v>9</v>
      </c>
      <c r="L428" s="20">
        <f t="shared" si="34"/>
        <v>676</v>
      </c>
      <c r="M428" s="4" t="str">
        <f>IF(Table3[[#This Row],[Afrondingsdatum YB]]="N/A","-",Table3[[#This Row],[Afrondingsdatum YB]]-Table3[[#This Row],[StartDatum]])</f>
        <v>-</v>
      </c>
      <c r="N428" s="4"/>
      <c r="O428">
        <f t="shared" si="38"/>
        <v>100</v>
      </c>
      <c r="P428">
        <f t="shared" si="37"/>
        <v>101</v>
      </c>
      <c r="Q428">
        <f t="shared" si="37"/>
        <v>109</v>
      </c>
      <c r="R428">
        <f t="shared" si="37"/>
        <v>105</v>
      </c>
      <c r="S428">
        <f t="shared" si="37"/>
        <v>46</v>
      </c>
      <c r="T428">
        <f t="shared" si="37"/>
        <v>118</v>
      </c>
      <c r="U428">
        <f t="shared" si="37"/>
        <v>97</v>
      </c>
      <c r="V428">
        <f t="shared" si="37"/>
        <v>110</v>
      </c>
      <c r="W428" s="5">
        <f t="shared" si="39"/>
        <v>875</v>
      </c>
      <c r="X428" s="9" t="str">
        <f t="shared" si="40"/>
        <v>e875</v>
      </c>
    </row>
    <row r="429" spans="1:24" x14ac:dyDescent="0.2">
      <c r="A429" s="9" t="s">
        <v>425</v>
      </c>
      <c r="B429" s="9">
        <v>1</v>
      </c>
      <c r="C429" s="17">
        <v>8</v>
      </c>
      <c r="D429" s="20"/>
      <c r="E429" s="23">
        <v>45222</v>
      </c>
      <c r="F429" s="23" t="s">
        <v>363</v>
      </c>
      <c r="G429" s="25" t="s">
        <v>23</v>
      </c>
      <c r="H429" s="24">
        <v>0.13</v>
      </c>
      <c r="I429" s="25" t="s">
        <v>173</v>
      </c>
      <c r="J429" s="25" t="s">
        <v>7</v>
      </c>
      <c r="K429" s="25" t="s">
        <v>9</v>
      </c>
      <c r="L429" s="25">
        <f t="shared" si="34"/>
        <v>681</v>
      </c>
      <c r="M429" s="4" t="str">
        <f>IF(Table3[[#This Row],[Afrondingsdatum YB]]="N/A","-",Table3[[#This Row],[Afrondingsdatum YB]]-Table3[[#This Row],[StartDatum]])</f>
        <v>-</v>
      </c>
      <c r="N429" s="4"/>
      <c r="O429">
        <f t="shared" si="38"/>
        <v>101</v>
      </c>
      <c r="P429">
        <f t="shared" si="37"/>
        <v>108</v>
      </c>
      <c r="Q429">
        <f t="shared" si="37"/>
        <v>105</v>
      </c>
      <c r="R429">
        <f t="shared" si="37"/>
        <v>122</v>
      </c>
      <c r="S429">
        <f t="shared" si="37"/>
        <v>101</v>
      </c>
      <c r="T429">
        <f t="shared" si="37"/>
        <v>46</v>
      </c>
      <c r="U429">
        <f t="shared" si="37"/>
        <v>98</v>
      </c>
      <c r="V429">
        <f t="shared" si="37"/>
        <v>97</v>
      </c>
      <c r="W429" s="5">
        <f t="shared" si="39"/>
        <v>843</v>
      </c>
      <c r="X429" s="9" t="str">
        <f t="shared" si="40"/>
        <v>l843</v>
      </c>
    </row>
    <row r="430" spans="1:24" x14ac:dyDescent="0.2">
      <c r="A430" s="9" t="s">
        <v>425</v>
      </c>
      <c r="B430" s="9">
        <v>1</v>
      </c>
      <c r="C430" s="17">
        <v>8</v>
      </c>
      <c r="D430" s="20"/>
      <c r="E430" s="18">
        <v>45222</v>
      </c>
      <c r="F430" s="18" t="s">
        <v>363</v>
      </c>
      <c r="G430" s="20" t="s">
        <v>24</v>
      </c>
      <c r="H430" s="19">
        <v>0.98</v>
      </c>
      <c r="I430" s="20" t="s">
        <v>203</v>
      </c>
      <c r="J430" s="20" t="s">
        <v>7</v>
      </c>
      <c r="K430" s="20" t="s">
        <v>9</v>
      </c>
      <c r="L430" s="20">
        <f t="shared" si="34"/>
        <v>705</v>
      </c>
      <c r="M430" s="4" t="str">
        <f>IF(Table3[[#This Row],[Afrondingsdatum YB]]="N/A","-",Table3[[#This Row],[Afrondingsdatum YB]]-Table3[[#This Row],[StartDatum]])</f>
        <v>-</v>
      </c>
      <c r="N430" s="4"/>
      <c r="O430">
        <f t="shared" si="38"/>
        <v>102</v>
      </c>
      <c r="P430">
        <f t="shared" si="37"/>
        <v>105</v>
      </c>
      <c r="Q430">
        <f t="shared" si="37"/>
        <v>115</v>
      </c>
      <c r="R430">
        <f t="shared" si="37"/>
        <v>116</v>
      </c>
      <c r="S430">
        <f t="shared" si="37"/>
        <v>111</v>
      </c>
      <c r="T430">
        <f t="shared" si="37"/>
        <v>110</v>
      </c>
      <c r="U430">
        <f t="shared" si="37"/>
        <v>46</v>
      </c>
      <c r="V430">
        <f t="shared" si="37"/>
        <v>99</v>
      </c>
      <c r="W430" s="5">
        <f t="shared" si="39"/>
        <v>895</v>
      </c>
      <c r="X430" s="9" t="str">
        <f t="shared" si="40"/>
        <v>i895</v>
      </c>
    </row>
    <row r="431" spans="1:24" x14ac:dyDescent="0.2">
      <c r="A431" s="9" t="s">
        <v>425</v>
      </c>
      <c r="B431" s="9">
        <v>1</v>
      </c>
      <c r="C431" s="17">
        <v>8</v>
      </c>
      <c r="D431" s="20"/>
      <c r="E431" s="23">
        <v>45222</v>
      </c>
      <c r="F431" s="23" t="s">
        <v>362</v>
      </c>
      <c r="G431" s="25" t="s">
        <v>118</v>
      </c>
      <c r="H431" s="24">
        <v>0</v>
      </c>
      <c r="I431" s="25" t="s">
        <v>8</v>
      </c>
      <c r="J431" s="25" t="s">
        <v>7</v>
      </c>
      <c r="K431" s="25" t="s">
        <v>9</v>
      </c>
      <c r="L431" s="25">
        <f t="shared" si="34"/>
        <v>756</v>
      </c>
      <c r="M431" s="4" t="str">
        <f>IF(Table3[[#This Row],[Afrondingsdatum YB]]="N/A","-",Table3[[#This Row],[Afrondingsdatum YB]]-Table3[[#This Row],[StartDatum]])</f>
        <v>-</v>
      </c>
      <c r="N431" s="4"/>
      <c r="O431">
        <f t="shared" si="38"/>
        <v>103</v>
      </c>
      <c r="P431">
        <f t="shared" si="38"/>
        <v>101</v>
      </c>
      <c r="Q431">
        <f t="shared" si="38"/>
        <v>110</v>
      </c>
      <c r="R431">
        <f t="shared" si="38"/>
        <v>116</v>
      </c>
      <c r="S431">
        <f t="shared" si="38"/>
        <v>97</v>
      </c>
      <c r="T431">
        <f t="shared" si="38"/>
        <v>108</v>
      </c>
      <c r="U431">
        <f t="shared" si="38"/>
        <v>121</v>
      </c>
      <c r="V431">
        <f t="shared" si="38"/>
        <v>46</v>
      </c>
      <c r="W431" s="5">
        <f t="shared" si="39"/>
        <v>885</v>
      </c>
      <c r="X431" s="9" t="str">
        <f t="shared" si="40"/>
        <v>e885</v>
      </c>
    </row>
    <row r="432" spans="1:24" x14ac:dyDescent="0.2">
      <c r="A432" s="9" t="s">
        <v>425</v>
      </c>
      <c r="B432" s="9">
        <v>1</v>
      </c>
      <c r="C432" s="17">
        <v>8</v>
      </c>
      <c r="D432" s="20"/>
      <c r="E432" s="18">
        <v>45222</v>
      </c>
      <c r="F432" s="18" t="s">
        <v>362</v>
      </c>
      <c r="G432" s="20" t="s">
        <v>25</v>
      </c>
      <c r="H432" s="19">
        <v>0.56999999999999995</v>
      </c>
      <c r="I432" s="20" t="s">
        <v>198</v>
      </c>
      <c r="J432" s="20" t="s">
        <v>7</v>
      </c>
      <c r="K432" s="20" t="s">
        <v>9</v>
      </c>
      <c r="L432" s="20">
        <f t="shared" si="34"/>
        <v>690</v>
      </c>
      <c r="M432" s="4" t="str">
        <f>IF(Table3[[#This Row],[Afrondingsdatum YB]]="N/A","-",Table3[[#This Row],[Afrondingsdatum YB]]-Table3[[#This Row],[StartDatum]])</f>
        <v>-</v>
      </c>
      <c r="N432" s="4"/>
      <c r="O432">
        <f t="shared" si="38"/>
        <v>103</v>
      </c>
      <c r="P432">
        <f t="shared" si="38"/>
        <v>108</v>
      </c>
      <c r="Q432">
        <f t="shared" si="38"/>
        <v>105</v>
      </c>
      <c r="R432">
        <f t="shared" si="38"/>
        <v>103</v>
      </c>
      <c r="S432">
        <f t="shared" si="38"/>
        <v>111</v>
      </c>
      <c r="T432">
        <f t="shared" si="38"/>
        <v>114</v>
      </c>
      <c r="U432">
        <f t="shared" si="38"/>
        <v>46</v>
      </c>
      <c r="V432">
        <f t="shared" si="38"/>
        <v>106</v>
      </c>
      <c r="W432" s="5">
        <f t="shared" si="39"/>
        <v>875</v>
      </c>
      <c r="X432" s="9" t="str">
        <f t="shared" si="40"/>
        <v>l875</v>
      </c>
    </row>
    <row r="433" spans="1:24" x14ac:dyDescent="0.2">
      <c r="A433" s="9" t="s">
        <v>425</v>
      </c>
      <c r="B433" s="9">
        <v>1</v>
      </c>
      <c r="C433" s="17">
        <v>8</v>
      </c>
      <c r="D433" s="20"/>
      <c r="E433" s="23">
        <v>45222</v>
      </c>
      <c r="F433" s="23" t="s">
        <v>363</v>
      </c>
      <c r="G433" s="25" t="s">
        <v>26</v>
      </c>
      <c r="H433" s="24">
        <v>0.53</v>
      </c>
      <c r="I433" s="25" t="s">
        <v>160</v>
      </c>
      <c r="J433" s="25" t="s">
        <v>7</v>
      </c>
      <c r="K433" s="25" t="s">
        <v>9</v>
      </c>
      <c r="L433" s="25">
        <f t="shared" si="34"/>
        <v>690</v>
      </c>
      <c r="M433" s="4" t="str">
        <f>IF(Table3[[#This Row],[Afrondingsdatum YB]]="N/A","-",Table3[[#This Row],[Afrondingsdatum YB]]-Table3[[#This Row],[StartDatum]])</f>
        <v>-</v>
      </c>
      <c r="N433" s="4"/>
      <c r="O433">
        <f t="shared" si="38"/>
        <v>104</v>
      </c>
      <c r="P433">
        <f t="shared" si="38"/>
        <v>97</v>
      </c>
      <c r="Q433">
        <f t="shared" si="38"/>
        <v>122</v>
      </c>
      <c r="R433">
        <f t="shared" si="38"/>
        <v>101</v>
      </c>
      <c r="S433">
        <f t="shared" si="38"/>
        <v>109</v>
      </c>
      <c r="T433">
        <f t="shared" si="38"/>
        <v>46</v>
      </c>
      <c r="U433">
        <f t="shared" si="38"/>
        <v>111</v>
      </c>
      <c r="V433">
        <f t="shared" si="38"/>
        <v>110</v>
      </c>
      <c r="W433" s="5">
        <f t="shared" si="39"/>
        <v>920</v>
      </c>
      <c r="X433" s="9" t="str">
        <f t="shared" si="40"/>
        <v>a920</v>
      </c>
    </row>
    <row r="434" spans="1:24" x14ac:dyDescent="0.2">
      <c r="A434" s="9" t="s">
        <v>425</v>
      </c>
      <c r="B434" s="9">
        <v>1</v>
      </c>
      <c r="C434" s="17">
        <v>8</v>
      </c>
      <c r="D434" s="20"/>
      <c r="E434" s="18">
        <v>45222</v>
      </c>
      <c r="F434" s="18" t="s">
        <v>364</v>
      </c>
      <c r="G434" s="20" t="s">
        <v>27</v>
      </c>
      <c r="H434" s="19">
        <v>0.53</v>
      </c>
      <c r="I434" s="20" t="s">
        <v>177</v>
      </c>
      <c r="J434" s="20" t="s">
        <v>7</v>
      </c>
      <c r="K434" s="20" t="s">
        <v>9</v>
      </c>
      <c r="L434" s="20">
        <f t="shared" si="34"/>
        <v>734</v>
      </c>
      <c r="M434" s="4" t="str">
        <f>IF(Table3[[#This Row],[Afrondingsdatum YB]]="N/A","-",Table3[[#This Row],[Afrondingsdatum YB]]-Table3[[#This Row],[StartDatum]])</f>
        <v>-</v>
      </c>
      <c r="N434" s="4"/>
      <c r="O434">
        <f t="shared" si="38"/>
        <v>104</v>
      </c>
      <c r="P434">
        <f t="shared" si="38"/>
        <v>101</v>
      </c>
      <c r="Q434">
        <f t="shared" si="38"/>
        <v>114</v>
      </c>
      <c r="R434">
        <f t="shared" si="38"/>
        <v>109</v>
      </c>
      <c r="S434">
        <f t="shared" si="38"/>
        <v>101</v>
      </c>
      <c r="T434">
        <f t="shared" si="38"/>
        <v>108</v>
      </c>
      <c r="U434">
        <f t="shared" si="38"/>
        <v>97</v>
      </c>
      <c r="V434">
        <f t="shared" si="38"/>
        <v>46</v>
      </c>
      <c r="W434" s="5">
        <f t="shared" si="39"/>
        <v>876</v>
      </c>
      <c r="X434" s="9" t="str">
        <f t="shared" si="40"/>
        <v>e876</v>
      </c>
    </row>
    <row r="435" spans="1:24" x14ac:dyDescent="0.2">
      <c r="A435" s="9" t="s">
        <v>425</v>
      </c>
      <c r="B435" s="9">
        <v>1</v>
      </c>
      <c r="C435" s="17">
        <v>8</v>
      </c>
      <c r="D435" s="20"/>
      <c r="E435" s="23">
        <v>45222</v>
      </c>
      <c r="F435" s="23" t="s">
        <v>364</v>
      </c>
      <c r="G435" s="25" t="s">
        <v>28</v>
      </c>
      <c r="H435" s="24">
        <v>0.26</v>
      </c>
      <c r="I435" s="25" t="s">
        <v>178</v>
      </c>
      <c r="J435" s="25" t="s">
        <v>7</v>
      </c>
      <c r="K435" s="25" t="s">
        <v>9</v>
      </c>
      <c r="L435" s="25">
        <f t="shared" si="34"/>
        <v>665</v>
      </c>
      <c r="M435" s="4" t="str">
        <f>IF(Table3[[#This Row],[Afrondingsdatum YB]]="N/A","-",Table3[[#This Row],[Afrondingsdatum YB]]-Table3[[#This Row],[StartDatum]])</f>
        <v>-</v>
      </c>
      <c r="N435" s="4"/>
      <c r="O435">
        <f t="shared" si="38"/>
        <v>104</v>
      </c>
      <c r="P435">
        <f t="shared" si="38"/>
        <v>117</v>
      </c>
      <c r="Q435">
        <f t="shared" si="38"/>
        <v>105</v>
      </c>
      <c r="R435">
        <f t="shared" si="38"/>
        <v>98</v>
      </c>
      <c r="S435">
        <f t="shared" si="38"/>
        <v>46</v>
      </c>
      <c r="T435">
        <f t="shared" si="38"/>
        <v>98</v>
      </c>
      <c r="U435">
        <f t="shared" si="38"/>
        <v>97</v>
      </c>
      <c r="V435">
        <f t="shared" si="38"/>
        <v>107</v>
      </c>
      <c r="W435" s="5">
        <f t="shared" si="39"/>
        <v>850</v>
      </c>
      <c r="X435" s="9" t="str">
        <f t="shared" si="40"/>
        <v>u850</v>
      </c>
    </row>
    <row r="436" spans="1:24" x14ac:dyDescent="0.2">
      <c r="A436" s="9" t="s">
        <v>425</v>
      </c>
      <c r="B436" s="9">
        <v>1</v>
      </c>
      <c r="C436" s="17">
        <v>8</v>
      </c>
      <c r="D436" s="20"/>
      <c r="E436" s="18">
        <v>45222</v>
      </c>
      <c r="F436" s="18" t="s">
        <v>363</v>
      </c>
      <c r="G436" s="20" t="s">
        <v>29</v>
      </c>
      <c r="H436" s="19">
        <v>1</v>
      </c>
      <c r="I436" s="20" t="s">
        <v>179</v>
      </c>
      <c r="J436" s="34">
        <v>45210</v>
      </c>
      <c r="K436" s="19">
        <v>0.85</v>
      </c>
      <c r="L436" s="20">
        <f t="shared" si="34"/>
        <v>682</v>
      </c>
      <c r="M436" s="4">
        <f>IF(Table3[[#This Row],[Afrondingsdatum YB]]="N/A","-",Table3[[#This Row],[Afrondingsdatum YB]]-Table3[[#This Row],[StartDatum]])</f>
        <v>45210</v>
      </c>
      <c r="N436" s="4"/>
      <c r="O436">
        <f t="shared" si="38"/>
        <v>105</v>
      </c>
      <c r="P436">
        <f t="shared" si="38"/>
        <v>107</v>
      </c>
      <c r="Q436">
        <f t="shared" si="38"/>
        <v>104</v>
      </c>
      <c r="R436">
        <f t="shared" si="38"/>
        <v>108</v>
      </c>
      <c r="S436">
        <f t="shared" si="38"/>
        <v>97</v>
      </c>
      <c r="T436">
        <f t="shared" si="38"/>
        <v>115</v>
      </c>
      <c r="U436">
        <f t="shared" si="38"/>
        <v>46</v>
      </c>
      <c r="V436">
        <f t="shared" si="38"/>
        <v>98</v>
      </c>
      <c r="W436" s="5">
        <f t="shared" si="39"/>
        <v>854</v>
      </c>
      <c r="X436" s="9" t="str">
        <f t="shared" si="40"/>
        <v>k854</v>
      </c>
    </row>
    <row r="437" spans="1:24" x14ac:dyDescent="0.2">
      <c r="A437" s="9" t="s">
        <v>425</v>
      </c>
      <c r="B437" s="9">
        <v>1</v>
      </c>
      <c r="C437" s="17">
        <v>8</v>
      </c>
      <c r="D437" s="20"/>
      <c r="E437" s="23">
        <v>45222</v>
      </c>
      <c r="F437" s="23" t="s">
        <v>363</v>
      </c>
      <c r="G437" s="25" t="s">
        <v>30</v>
      </c>
      <c r="H437" s="24">
        <v>0.94</v>
      </c>
      <c r="I437" s="25" t="s">
        <v>204</v>
      </c>
      <c r="J437" s="25" t="s">
        <v>7</v>
      </c>
      <c r="K437" s="25" t="s">
        <v>9</v>
      </c>
      <c r="L437" s="25">
        <f t="shared" si="34"/>
        <v>701</v>
      </c>
      <c r="M437" s="4" t="str">
        <f>IF(Table3[[#This Row],[Afrondingsdatum YB]]="N/A","-",Table3[[#This Row],[Afrondingsdatum YB]]-Table3[[#This Row],[StartDatum]])</f>
        <v>-</v>
      </c>
      <c r="N437" s="4"/>
      <c r="O437">
        <f t="shared" si="38"/>
        <v>105</v>
      </c>
      <c r="P437">
        <f t="shared" si="38"/>
        <v>108</v>
      </c>
      <c r="Q437">
        <f t="shared" si="38"/>
        <v>107</v>
      </c>
      <c r="R437">
        <f t="shared" si="38"/>
        <v>97</v>
      </c>
      <c r="S437">
        <f t="shared" si="38"/>
        <v>121</v>
      </c>
      <c r="T437">
        <f t="shared" si="38"/>
        <v>46</v>
      </c>
      <c r="U437">
        <f t="shared" si="38"/>
        <v>117</v>
      </c>
      <c r="V437">
        <f t="shared" si="38"/>
        <v>121</v>
      </c>
      <c r="W437" s="5">
        <f t="shared" si="39"/>
        <v>909</v>
      </c>
      <c r="X437" s="9" t="str">
        <f t="shared" si="40"/>
        <v>l909</v>
      </c>
    </row>
    <row r="438" spans="1:24" x14ac:dyDescent="0.2">
      <c r="A438" s="9" t="s">
        <v>425</v>
      </c>
      <c r="B438" s="9">
        <v>1</v>
      </c>
      <c r="C438" s="17">
        <v>8</v>
      </c>
      <c r="D438" s="20"/>
      <c r="E438" s="18">
        <v>45222</v>
      </c>
      <c r="F438" s="18" t="s">
        <v>364</v>
      </c>
      <c r="G438" s="20" t="s">
        <v>31</v>
      </c>
      <c r="H438" s="19">
        <v>0.84</v>
      </c>
      <c r="I438" s="20" t="s">
        <v>205</v>
      </c>
      <c r="J438" s="20" t="s">
        <v>7</v>
      </c>
      <c r="K438" s="20" t="s">
        <v>9</v>
      </c>
      <c r="L438" s="20">
        <f t="shared" si="34"/>
        <v>661</v>
      </c>
      <c r="M438" s="4" t="str">
        <f>IF(Table3[[#This Row],[Afrondingsdatum YB]]="N/A","-",Table3[[#This Row],[Afrondingsdatum YB]]-Table3[[#This Row],[StartDatum]])</f>
        <v>-</v>
      </c>
      <c r="N438" s="4"/>
      <c r="O438">
        <f t="shared" si="38"/>
        <v>106</v>
      </c>
      <c r="P438">
        <f t="shared" si="38"/>
        <v>97</v>
      </c>
      <c r="Q438">
        <f t="shared" si="38"/>
        <v>109</v>
      </c>
      <c r="R438">
        <f t="shared" si="38"/>
        <v>97</v>
      </c>
      <c r="S438">
        <f t="shared" si="38"/>
        <v>108</v>
      </c>
      <c r="T438">
        <f t="shared" si="38"/>
        <v>46</v>
      </c>
      <c r="U438">
        <f t="shared" si="38"/>
        <v>98</v>
      </c>
      <c r="V438">
        <f t="shared" si="38"/>
        <v>97</v>
      </c>
      <c r="W438" s="5">
        <f t="shared" si="39"/>
        <v>855</v>
      </c>
      <c r="X438" s="9" t="str">
        <f t="shared" si="40"/>
        <v>a855</v>
      </c>
    </row>
    <row r="439" spans="1:24" x14ac:dyDescent="0.2">
      <c r="A439" s="9" t="s">
        <v>425</v>
      </c>
      <c r="B439" s="9">
        <v>1</v>
      </c>
      <c r="C439" s="17">
        <v>8</v>
      </c>
      <c r="D439" s="20"/>
      <c r="E439" s="23">
        <v>45222</v>
      </c>
      <c r="F439" s="23" t="s">
        <v>364</v>
      </c>
      <c r="G439" s="25" t="s">
        <v>75</v>
      </c>
      <c r="H439" s="24">
        <v>0</v>
      </c>
      <c r="I439" s="25" t="s">
        <v>8</v>
      </c>
      <c r="J439" s="25" t="s">
        <v>7</v>
      </c>
      <c r="K439" s="25" t="s">
        <v>9</v>
      </c>
      <c r="L439" s="25">
        <f t="shared" si="34"/>
        <v>698</v>
      </c>
      <c r="M439" s="4" t="str">
        <f>IF(Table3[[#This Row],[Afrondingsdatum YB]]="N/A","-",Table3[[#This Row],[Afrondingsdatum YB]]-Table3[[#This Row],[StartDatum]])</f>
        <v>-</v>
      </c>
      <c r="N439" s="4"/>
      <c r="O439">
        <f t="shared" si="38"/>
        <v>74</v>
      </c>
      <c r="P439">
        <f t="shared" si="38"/>
        <v>97</v>
      </c>
      <c r="Q439">
        <f t="shared" si="38"/>
        <v>109</v>
      </c>
      <c r="R439">
        <f t="shared" si="38"/>
        <v>105</v>
      </c>
      <c r="S439">
        <f t="shared" si="38"/>
        <v>108</v>
      </c>
      <c r="T439">
        <f t="shared" si="38"/>
        <v>108</v>
      </c>
      <c r="U439">
        <f t="shared" si="38"/>
        <v>97</v>
      </c>
      <c r="V439">
        <f t="shared" si="38"/>
        <v>98</v>
      </c>
      <c r="W439" s="5">
        <f t="shared" si="39"/>
        <v>887</v>
      </c>
      <c r="X439" s="9" t="str">
        <f t="shared" si="40"/>
        <v>a887</v>
      </c>
    </row>
    <row r="440" spans="1:24" x14ac:dyDescent="0.2">
      <c r="A440" s="9" t="s">
        <v>425</v>
      </c>
      <c r="B440" s="9">
        <v>1</v>
      </c>
      <c r="C440" s="17">
        <v>8</v>
      </c>
      <c r="D440" s="20"/>
      <c r="E440" s="18">
        <v>45222</v>
      </c>
      <c r="F440" s="18" t="s">
        <v>363</v>
      </c>
      <c r="G440" s="20" t="s">
        <v>32</v>
      </c>
      <c r="H440" s="19">
        <v>1</v>
      </c>
      <c r="I440" s="20" t="s">
        <v>181</v>
      </c>
      <c r="J440" s="34">
        <v>45209</v>
      </c>
      <c r="K440" s="19">
        <v>0.78</v>
      </c>
      <c r="L440" s="20">
        <f t="shared" si="34"/>
        <v>698</v>
      </c>
      <c r="M440" s="4">
        <f>IF(Table3[[#This Row],[Afrondingsdatum YB]]="N/A","-",Table3[[#This Row],[Afrondingsdatum YB]]-Table3[[#This Row],[StartDatum]])</f>
        <v>45209</v>
      </c>
      <c r="N440" s="4"/>
      <c r="O440">
        <f t="shared" si="38"/>
        <v>106</v>
      </c>
      <c r="P440">
        <f t="shared" si="38"/>
        <v>97</v>
      </c>
      <c r="Q440">
        <f t="shared" si="38"/>
        <v>114</v>
      </c>
      <c r="R440">
        <f t="shared" si="38"/>
        <v>114</v>
      </c>
      <c r="S440">
        <f t="shared" si="38"/>
        <v>111</v>
      </c>
      <c r="T440">
        <f t="shared" si="38"/>
        <v>110</v>
      </c>
      <c r="U440">
        <f t="shared" si="38"/>
        <v>46</v>
      </c>
      <c r="V440">
        <f t="shared" si="38"/>
        <v>118</v>
      </c>
      <c r="W440" s="5">
        <f t="shared" si="39"/>
        <v>910</v>
      </c>
      <c r="X440" s="9" t="str">
        <f t="shared" si="40"/>
        <v>a910</v>
      </c>
    </row>
    <row r="441" spans="1:24" x14ac:dyDescent="0.2">
      <c r="A441" s="9" t="s">
        <v>425</v>
      </c>
      <c r="B441" s="9">
        <v>1</v>
      </c>
      <c r="C441" s="17">
        <v>8</v>
      </c>
      <c r="D441" s="20"/>
      <c r="E441" s="23">
        <v>45222</v>
      </c>
      <c r="F441" s="23" t="s">
        <v>362</v>
      </c>
      <c r="G441" s="25" t="s">
        <v>33</v>
      </c>
      <c r="H441" s="24">
        <v>0.23</v>
      </c>
      <c r="I441" s="25" t="s">
        <v>182</v>
      </c>
      <c r="J441" s="25" t="s">
        <v>7</v>
      </c>
      <c r="K441" s="25" t="s">
        <v>9</v>
      </c>
      <c r="L441" s="25">
        <f t="shared" si="34"/>
        <v>707</v>
      </c>
      <c r="M441" s="4" t="str">
        <f>IF(Table3[[#This Row],[Afrondingsdatum YB]]="N/A","-",Table3[[#This Row],[Afrondingsdatum YB]]-Table3[[#This Row],[StartDatum]])</f>
        <v>-</v>
      </c>
      <c r="N441" s="4"/>
      <c r="O441">
        <f t="shared" si="38"/>
        <v>106</v>
      </c>
      <c r="P441">
        <f t="shared" si="38"/>
        <v>101</v>
      </c>
      <c r="Q441">
        <f t="shared" si="38"/>
        <v>118</v>
      </c>
      <c r="R441">
        <f t="shared" si="38"/>
        <v>111</v>
      </c>
      <c r="S441">
        <f t="shared" si="38"/>
        <v>110</v>
      </c>
      <c r="T441">
        <f t="shared" si="38"/>
        <v>46</v>
      </c>
      <c r="U441">
        <f t="shared" si="38"/>
        <v>115</v>
      </c>
      <c r="V441">
        <f t="shared" si="38"/>
        <v>109</v>
      </c>
      <c r="W441" s="5">
        <f t="shared" si="39"/>
        <v>918</v>
      </c>
      <c r="X441" s="9" t="str">
        <f t="shared" si="40"/>
        <v>e918</v>
      </c>
    </row>
    <row r="442" spans="1:24" x14ac:dyDescent="0.2">
      <c r="A442" s="9" t="s">
        <v>425</v>
      </c>
      <c r="B442" s="9">
        <v>1</v>
      </c>
      <c r="C442" s="17">
        <v>8</v>
      </c>
      <c r="D442" s="20"/>
      <c r="E442" s="18">
        <v>45222</v>
      </c>
      <c r="F442" s="18" t="s">
        <v>362</v>
      </c>
      <c r="G442" s="20" t="s">
        <v>125</v>
      </c>
      <c r="H442" s="19">
        <v>0</v>
      </c>
      <c r="I442" s="20" t="s">
        <v>8</v>
      </c>
      <c r="J442" s="20" t="s">
        <v>7</v>
      </c>
      <c r="K442" s="20" t="s">
        <v>9</v>
      </c>
      <c r="L442" s="20">
        <f t="shared" si="34"/>
        <v>689</v>
      </c>
      <c r="M442" s="4" t="str">
        <f>IF(Table3[[#This Row],[Afrondingsdatum YB]]="N/A","-",Table3[[#This Row],[Afrondingsdatum YB]]-Table3[[#This Row],[StartDatum]])</f>
        <v>-</v>
      </c>
      <c r="N442" s="4"/>
      <c r="O442">
        <f t="shared" si="38"/>
        <v>106</v>
      </c>
      <c r="P442">
        <f t="shared" si="38"/>
        <v>111</v>
      </c>
      <c r="Q442">
        <f t="shared" si="38"/>
        <v>98</v>
      </c>
      <c r="R442">
        <f t="shared" si="38"/>
        <v>46</v>
      </c>
      <c r="S442">
        <f t="shared" si="38"/>
        <v>107</v>
      </c>
      <c r="T442">
        <f t="shared" si="38"/>
        <v>110</v>
      </c>
      <c r="U442">
        <f t="shared" si="38"/>
        <v>111</v>
      </c>
      <c r="V442">
        <f t="shared" si="38"/>
        <v>111</v>
      </c>
      <c r="W442" s="5">
        <f t="shared" si="39"/>
        <v>906</v>
      </c>
      <c r="X442" s="9" t="str">
        <f t="shared" si="40"/>
        <v>o906</v>
      </c>
    </row>
    <row r="443" spans="1:24" x14ac:dyDescent="0.2">
      <c r="A443" s="9" t="s">
        <v>425</v>
      </c>
      <c r="B443" s="9">
        <v>1</v>
      </c>
      <c r="C443" s="17">
        <v>8</v>
      </c>
      <c r="D443" s="20"/>
      <c r="E443" s="23">
        <v>45222</v>
      </c>
      <c r="F443" s="23" t="s">
        <v>362</v>
      </c>
      <c r="G443" s="25" t="s">
        <v>34</v>
      </c>
      <c r="H443" s="24">
        <v>7.0000000000000007E-2</v>
      </c>
      <c r="I443" s="25" t="s">
        <v>206</v>
      </c>
      <c r="J443" s="25" t="s">
        <v>7</v>
      </c>
      <c r="K443" s="25" t="s">
        <v>9</v>
      </c>
      <c r="L443" s="25">
        <f t="shared" si="34"/>
        <v>676</v>
      </c>
      <c r="M443" s="4" t="str">
        <f>IF(Table3[[#This Row],[Afrondingsdatum YB]]="N/A","-",Table3[[#This Row],[Afrondingsdatum YB]]-Table3[[#This Row],[StartDatum]])</f>
        <v>-</v>
      </c>
      <c r="N443" s="4"/>
      <c r="O443">
        <f t="shared" si="38"/>
        <v>106</v>
      </c>
      <c r="P443">
        <f t="shared" si="38"/>
        <v>111</v>
      </c>
      <c r="Q443">
        <f t="shared" si="38"/>
        <v>99</v>
      </c>
      <c r="R443">
        <f t="shared" si="38"/>
        <v>104</v>
      </c>
      <c r="S443">
        <f t="shared" si="38"/>
        <v>101</v>
      </c>
      <c r="T443">
        <f t="shared" si="38"/>
        <v>109</v>
      </c>
      <c r="U443">
        <f t="shared" si="38"/>
        <v>46</v>
      </c>
      <c r="V443">
        <f t="shared" si="38"/>
        <v>104</v>
      </c>
      <c r="W443" s="5">
        <f t="shared" si="39"/>
        <v>845</v>
      </c>
      <c r="X443" s="9" t="str">
        <f t="shared" si="40"/>
        <v>o845</v>
      </c>
    </row>
    <row r="444" spans="1:24" x14ac:dyDescent="0.2">
      <c r="A444" s="9" t="s">
        <v>425</v>
      </c>
      <c r="B444" s="9">
        <v>1</v>
      </c>
      <c r="C444" s="17">
        <v>8</v>
      </c>
      <c r="D444" s="20"/>
      <c r="E444" s="18">
        <v>45222</v>
      </c>
      <c r="F444" s="18" t="s">
        <v>362</v>
      </c>
      <c r="G444" s="20" t="s">
        <v>35</v>
      </c>
      <c r="H444" s="19">
        <v>0.19</v>
      </c>
      <c r="I444" s="20" t="s">
        <v>190</v>
      </c>
      <c r="J444" s="20" t="s">
        <v>7</v>
      </c>
      <c r="K444" s="20" t="s">
        <v>9</v>
      </c>
      <c r="L444" s="20">
        <f t="shared" si="34"/>
        <v>704</v>
      </c>
      <c r="M444" s="4" t="str">
        <f>IF(Table3[[#This Row],[Afrondingsdatum YB]]="N/A","-",Table3[[#This Row],[Afrondingsdatum YB]]-Table3[[#This Row],[StartDatum]])</f>
        <v>-</v>
      </c>
      <c r="N444" s="4"/>
      <c r="O444">
        <f t="shared" si="38"/>
        <v>106</v>
      </c>
      <c r="P444">
        <f t="shared" si="38"/>
        <v>111</v>
      </c>
      <c r="Q444">
        <f t="shared" si="38"/>
        <v>114</v>
      </c>
      <c r="R444">
        <f t="shared" si="38"/>
        <v>105</v>
      </c>
      <c r="S444">
        <f t="shared" si="38"/>
        <v>115</v>
      </c>
      <c r="T444">
        <f t="shared" si="38"/>
        <v>46</v>
      </c>
      <c r="U444">
        <f t="shared" si="38"/>
        <v>107</v>
      </c>
      <c r="V444">
        <f t="shared" si="38"/>
        <v>111</v>
      </c>
      <c r="W444" s="5">
        <f t="shared" si="39"/>
        <v>909</v>
      </c>
      <c r="X444" s="9" t="str">
        <f t="shared" si="40"/>
        <v>o909</v>
      </c>
    </row>
    <row r="445" spans="1:24" x14ac:dyDescent="0.2">
      <c r="A445" s="9" t="s">
        <v>425</v>
      </c>
      <c r="B445" s="9">
        <v>1</v>
      </c>
      <c r="C445" s="17">
        <v>8</v>
      </c>
      <c r="D445" s="20"/>
      <c r="E445" s="23">
        <v>45222</v>
      </c>
      <c r="F445" s="23" t="s">
        <v>364</v>
      </c>
      <c r="G445" s="25" t="s">
        <v>36</v>
      </c>
      <c r="H445" s="24">
        <v>0.43</v>
      </c>
      <c r="I445" s="25" t="s">
        <v>207</v>
      </c>
      <c r="J445" s="25" t="s">
        <v>7</v>
      </c>
      <c r="K445" s="25" t="s">
        <v>9</v>
      </c>
      <c r="L445" s="25">
        <f t="shared" si="34"/>
        <v>657</v>
      </c>
      <c r="M445" s="4" t="str">
        <f>IF(Table3[[#This Row],[Afrondingsdatum YB]]="N/A","-",Table3[[#This Row],[Afrondingsdatum YB]]-Table3[[#This Row],[StartDatum]])</f>
        <v>-</v>
      </c>
      <c r="N445" s="4"/>
      <c r="O445">
        <f t="shared" si="38"/>
        <v>74</v>
      </c>
      <c r="P445">
        <f t="shared" si="38"/>
        <v>117</v>
      </c>
      <c r="Q445">
        <f t="shared" si="38"/>
        <v>108</v>
      </c>
      <c r="R445">
        <f t="shared" si="38"/>
        <v>105</v>
      </c>
      <c r="S445">
        <f t="shared" si="38"/>
        <v>97</v>
      </c>
      <c r="T445">
        <f t="shared" si="38"/>
        <v>110</v>
      </c>
      <c r="U445">
        <f t="shared" si="38"/>
        <v>46</v>
      </c>
      <c r="V445">
        <f t="shared" si="38"/>
        <v>68</v>
      </c>
      <c r="W445" s="5">
        <f t="shared" si="39"/>
        <v>804</v>
      </c>
      <c r="X445" s="9" t="str">
        <f t="shared" si="40"/>
        <v>u804</v>
      </c>
    </row>
    <row r="446" spans="1:24" x14ac:dyDescent="0.2">
      <c r="A446" s="9" t="s">
        <v>425</v>
      </c>
      <c r="B446" s="9">
        <v>1</v>
      </c>
      <c r="C446" s="17">
        <v>8</v>
      </c>
      <c r="D446" s="20"/>
      <c r="E446" s="18">
        <v>45222</v>
      </c>
      <c r="F446" s="18" t="s">
        <v>363</v>
      </c>
      <c r="G446" s="20" t="s">
        <v>37</v>
      </c>
      <c r="H446" s="19">
        <v>0.28999999999999998</v>
      </c>
      <c r="I446" s="20" t="s">
        <v>185</v>
      </c>
      <c r="J446" s="20" t="s">
        <v>7</v>
      </c>
      <c r="K446" s="20" t="s">
        <v>9</v>
      </c>
      <c r="L446" s="20">
        <f t="shared" si="34"/>
        <v>689</v>
      </c>
      <c r="M446" s="4" t="str">
        <f>IF(Table3[[#This Row],[Afrondingsdatum YB]]="N/A","-",Table3[[#This Row],[Afrondingsdatum YB]]-Table3[[#This Row],[StartDatum]])</f>
        <v>-</v>
      </c>
      <c r="N446" s="4"/>
      <c r="O446">
        <f t="shared" si="38"/>
        <v>106</v>
      </c>
      <c r="P446">
        <f t="shared" si="38"/>
        <v>117</v>
      </c>
      <c r="Q446">
        <f t="shared" si="38"/>
        <v>108</v>
      </c>
      <c r="R446">
        <f t="shared" si="38"/>
        <v>105</v>
      </c>
      <c r="S446">
        <f t="shared" si="38"/>
        <v>97</v>
      </c>
      <c r="T446">
        <f t="shared" si="38"/>
        <v>110</v>
      </c>
      <c r="U446">
        <f t="shared" si="38"/>
        <v>46</v>
      </c>
      <c r="V446">
        <f t="shared" si="38"/>
        <v>118</v>
      </c>
      <c r="W446" s="5">
        <f t="shared" si="39"/>
        <v>886</v>
      </c>
      <c r="X446" s="9" t="str">
        <f t="shared" si="40"/>
        <v>u886</v>
      </c>
    </row>
    <row r="447" spans="1:24" x14ac:dyDescent="0.2">
      <c r="A447" s="9" t="s">
        <v>425</v>
      </c>
      <c r="B447" s="9">
        <v>1</v>
      </c>
      <c r="C447" s="17">
        <v>8</v>
      </c>
      <c r="D447" s="20"/>
      <c r="E447" s="23">
        <v>45222</v>
      </c>
      <c r="F447" s="23" t="s">
        <v>363</v>
      </c>
      <c r="G447" s="25" t="s">
        <v>38</v>
      </c>
      <c r="H447" s="24">
        <v>1</v>
      </c>
      <c r="I447" s="25" t="s">
        <v>208</v>
      </c>
      <c r="J447" s="25" t="s">
        <v>7</v>
      </c>
      <c r="K447" s="25" t="s">
        <v>9</v>
      </c>
      <c r="L447" s="25">
        <f t="shared" si="34"/>
        <v>671</v>
      </c>
      <c r="M447" s="4" t="str">
        <f>IF(Table3[[#This Row],[Afrondingsdatum YB]]="N/A","-",Table3[[#This Row],[Afrondingsdatum YB]]-Table3[[#This Row],[StartDatum]])</f>
        <v>-</v>
      </c>
      <c r="N447" s="4"/>
      <c r="O447">
        <f t="shared" si="38"/>
        <v>107</v>
      </c>
      <c r="P447">
        <f t="shared" si="38"/>
        <v>97</v>
      </c>
      <c r="Q447">
        <f t="shared" si="38"/>
        <v>105</v>
      </c>
      <c r="R447">
        <f t="shared" si="38"/>
        <v>46</v>
      </c>
      <c r="S447">
        <f t="shared" si="38"/>
        <v>104</v>
      </c>
      <c r="T447">
        <f t="shared" si="38"/>
        <v>97</v>
      </c>
      <c r="U447">
        <f t="shared" si="38"/>
        <v>115</v>
      </c>
      <c r="V447">
        <f t="shared" si="38"/>
        <v>115</v>
      </c>
      <c r="W447" s="5">
        <f t="shared" si="39"/>
        <v>913</v>
      </c>
      <c r="X447" s="9" t="str">
        <f t="shared" si="40"/>
        <v>a913</v>
      </c>
    </row>
    <row r="448" spans="1:24" x14ac:dyDescent="0.2">
      <c r="A448" s="9" t="s">
        <v>425</v>
      </c>
      <c r="B448" s="9">
        <v>1</v>
      </c>
      <c r="C448" s="17">
        <v>8</v>
      </c>
      <c r="D448" s="20"/>
      <c r="E448" s="18">
        <v>45222</v>
      </c>
      <c r="F448" s="18" t="s">
        <v>362</v>
      </c>
      <c r="G448" s="20" t="s">
        <v>39</v>
      </c>
      <c r="H448" s="19">
        <v>0.69</v>
      </c>
      <c r="I448" s="20" t="s">
        <v>71</v>
      </c>
      <c r="J448" s="20" t="s">
        <v>7</v>
      </c>
      <c r="K448" s="20" t="s">
        <v>9</v>
      </c>
      <c r="L448" s="20">
        <f t="shared" si="34"/>
        <v>673</v>
      </c>
      <c r="M448" s="4" t="str">
        <f>IF(Table3[[#This Row],[Afrondingsdatum YB]]="N/A","-",Table3[[#This Row],[Afrondingsdatum YB]]-Table3[[#This Row],[StartDatum]])</f>
        <v>-</v>
      </c>
      <c r="N448" s="4"/>
      <c r="O448">
        <f t="shared" si="38"/>
        <v>107</v>
      </c>
      <c r="P448">
        <f t="shared" si="38"/>
        <v>101</v>
      </c>
      <c r="Q448">
        <f t="shared" si="38"/>
        <v>110</v>
      </c>
      <c r="R448">
        <f t="shared" si="38"/>
        <v>97</v>
      </c>
      <c r="S448">
        <f t="shared" si="38"/>
        <v>110</v>
      </c>
      <c r="T448">
        <f t="shared" si="38"/>
        <v>46</v>
      </c>
      <c r="U448">
        <f t="shared" si="38"/>
        <v>102</v>
      </c>
      <c r="V448">
        <f t="shared" si="38"/>
        <v>108</v>
      </c>
      <c r="W448" s="5">
        <f t="shared" si="39"/>
        <v>878</v>
      </c>
      <c r="X448" s="9" t="str">
        <f t="shared" si="40"/>
        <v>e878</v>
      </c>
    </row>
    <row r="449" spans="1:24" x14ac:dyDescent="0.2">
      <c r="A449" s="9" t="s">
        <v>425</v>
      </c>
      <c r="B449" s="9">
        <v>1</v>
      </c>
      <c r="C449" s="17">
        <v>8</v>
      </c>
      <c r="D449" s="20"/>
      <c r="E449" s="23">
        <v>45222</v>
      </c>
      <c r="F449" s="23" t="s">
        <v>363</v>
      </c>
      <c r="G449" s="25" t="s">
        <v>40</v>
      </c>
      <c r="H449" s="24">
        <v>0.69</v>
      </c>
      <c r="I449" s="25" t="s">
        <v>209</v>
      </c>
      <c r="J449" s="25" t="s">
        <v>7</v>
      </c>
      <c r="K449" s="25" t="s">
        <v>9</v>
      </c>
      <c r="L449" s="25">
        <f t="shared" si="34"/>
        <v>685</v>
      </c>
      <c r="M449" s="4" t="str">
        <f>IF(Table3[[#This Row],[Afrondingsdatum YB]]="N/A","-",Table3[[#This Row],[Afrondingsdatum YB]]-Table3[[#This Row],[StartDatum]])</f>
        <v>-</v>
      </c>
      <c r="N449" s="4"/>
      <c r="O449">
        <f t="shared" si="38"/>
        <v>107</v>
      </c>
      <c r="P449">
        <f t="shared" si="38"/>
        <v>101</v>
      </c>
      <c r="Q449">
        <f t="shared" si="38"/>
        <v>118</v>
      </c>
      <c r="R449">
        <f t="shared" si="38"/>
        <v>105</v>
      </c>
      <c r="S449">
        <f t="shared" si="38"/>
        <v>110</v>
      </c>
      <c r="T449">
        <f t="shared" si="38"/>
        <v>46</v>
      </c>
      <c r="U449">
        <f t="shared" si="38"/>
        <v>98</v>
      </c>
      <c r="V449">
        <f t="shared" si="38"/>
        <v>97</v>
      </c>
      <c r="W449" s="5">
        <f t="shared" si="39"/>
        <v>889</v>
      </c>
      <c r="X449" s="9" t="str">
        <f t="shared" si="40"/>
        <v>e889</v>
      </c>
    </row>
    <row r="450" spans="1:24" x14ac:dyDescent="0.2">
      <c r="A450" s="9" t="s">
        <v>425</v>
      </c>
      <c r="B450" s="9">
        <v>1</v>
      </c>
      <c r="C450" s="17">
        <v>8</v>
      </c>
      <c r="D450" s="20"/>
      <c r="E450" s="18">
        <v>45222</v>
      </c>
      <c r="F450" s="18" t="s">
        <v>363</v>
      </c>
      <c r="G450" s="20" t="s">
        <v>41</v>
      </c>
      <c r="H450" s="19">
        <v>1</v>
      </c>
      <c r="I450" s="20" t="s">
        <v>121</v>
      </c>
      <c r="J450" s="34">
        <v>45218</v>
      </c>
      <c r="K450" s="19">
        <v>0.83</v>
      </c>
      <c r="L450" s="20">
        <f t="shared" ref="L450:L513" si="41">SUM(O450:U450)</f>
        <v>694</v>
      </c>
      <c r="M450" s="4">
        <f>IF(Table3[[#This Row],[Afrondingsdatum YB]]="N/A","-",Table3[[#This Row],[Afrondingsdatum YB]]-Table3[[#This Row],[StartDatum]])</f>
        <v>45218</v>
      </c>
      <c r="N450" s="4"/>
      <c r="O450">
        <f t="shared" si="38"/>
        <v>107</v>
      </c>
      <c r="P450">
        <f t="shared" si="38"/>
        <v>106</v>
      </c>
      <c r="Q450">
        <f t="shared" si="38"/>
        <v>101</v>
      </c>
      <c r="R450">
        <f t="shared" si="38"/>
        <v>108</v>
      </c>
      <c r="S450">
        <f t="shared" si="38"/>
        <v>108</v>
      </c>
      <c r="T450">
        <f t="shared" si="38"/>
        <v>46</v>
      </c>
      <c r="U450">
        <f t="shared" si="38"/>
        <v>118</v>
      </c>
      <c r="V450">
        <f t="shared" si="38"/>
        <v>97</v>
      </c>
      <c r="W450" s="5">
        <f t="shared" si="39"/>
        <v>859</v>
      </c>
      <c r="X450" s="9" t="str">
        <f t="shared" si="40"/>
        <v>j859</v>
      </c>
    </row>
    <row r="451" spans="1:24" x14ac:dyDescent="0.2">
      <c r="A451" s="9" t="s">
        <v>425</v>
      </c>
      <c r="B451" s="9">
        <v>1</v>
      </c>
      <c r="C451" s="17">
        <v>8</v>
      </c>
      <c r="D451" s="20"/>
      <c r="E451" s="23">
        <v>45222</v>
      </c>
      <c r="F451" s="23" t="s">
        <v>362</v>
      </c>
      <c r="G451" s="25" t="s">
        <v>79</v>
      </c>
      <c r="H451" s="24">
        <v>1</v>
      </c>
      <c r="I451" s="25" t="s">
        <v>72</v>
      </c>
      <c r="J451" s="32">
        <v>45214</v>
      </c>
      <c r="K451" s="24">
        <v>0.7</v>
      </c>
      <c r="L451" s="25">
        <f t="shared" si="41"/>
        <v>679</v>
      </c>
      <c r="M451" s="4">
        <f>IF(Table3[[#This Row],[Afrondingsdatum YB]]="N/A","-",Table3[[#This Row],[Afrondingsdatum YB]]-Table3[[#This Row],[StartDatum]])</f>
        <v>45214</v>
      </c>
      <c r="N451" s="4"/>
      <c r="O451">
        <f t="shared" ref="O451:V482" si="42">CODE(MID($G451,O$1,1))</f>
        <v>108</v>
      </c>
      <c r="P451">
        <f t="shared" si="42"/>
        <v>97</v>
      </c>
      <c r="Q451">
        <f t="shared" si="42"/>
        <v>109</v>
      </c>
      <c r="R451">
        <f t="shared" si="42"/>
        <v>121</v>
      </c>
      <c r="S451">
        <f t="shared" si="42"/>
        <v>97</v>
      </c>
      <c r="T451">
        <f t="shared" si="42"/>
        <v>101</v>
      </c>
      <c r="U451">
        <f t="shared" si="42"/>
        <v>46</v>
      </c>
      <c r="V451">
        <f t="shared" si="42"/>
        <v>101</v>
      </c>
      <c r="W451" s="5">
        <f t="shared" si="39"/>
        <v>859</v>
      </c>
      <c r="X451" s="9" t="str">
        <f t="shared" si="40"/>
        <v>a859</v>
      </c>
    </row>
    <row r="452" spans="1:24" x14ac:dyDescent="0.2">
      <c r="A452" s="9" t="s">
        <v>425</v>
      </c>
      <c r="B452" s="9">
        <v>1</v>
      </c>
      <c r="C452" s="17">
        <v>8</v>
      </c>
      <c r="D452" s="20"/>
      <c r="E452" s="18">
        <v>45222</v>
      </c>
      <c r="F452" s="18" t="s">
        <v>363</v>
      </c>
      <c r="G452" s="20" t="s">
        <v>42</v>
      </c>
      <c r="H452" s="19">
        <v>0.17</v>
      </c>
      <c r="I452" s="20" t="s">
        <v>102</v>
      </c>
      <c r="J452" s="20" t="s">
        <v>7</v>
      </c>
      <c r="K452" s="20" t="s">
        <v>9</v>
      </c>
      <c r="L452" s="20">
        <f t="shared" si="41"/>
        <v>687</v>
      </c>
      <c r="M452" s="4" t="str">
        <f>IF(Table3[[#This Row],[Afrondingsdatum YB]]="N/A","-",Table3[[#This Row],[Afrondingsdatum YB]]-Table3[[#This Row],[StartDatum]])</f>
        <v>-</v>
      </c>
      <c r="N452" s="4"/>
      <c r="O452">
        <f t="shared" si="42"/>
        <v>108</v>
      </c>
      <c r="P452">
        <f t="shared" si="42"/>
        <v>105</v>
      </c>
      <c r="Q452">
        <f t="shared" si="42"/>
        <v>110</v>
      </c>
      <c r="R452">
        <f t="shared" si="42"/>
        <v>100</v>
      </c>
      <c r="S452">
        <f t="shared" si="42"/>
        <v>121</v>
      </c>
      <c r="T452">
        <f t="shared" si="42"/>
        <v>46</v>
      </c>
      <c r="U452">
        <f t="shared" si="42"/>
        <v>97</v>
      </c>
      <c r="V452">
        <f t="shared" si="42"/>
        <v>110</v>
      </c>
      <c r="W452" s="5">
        <f t="shared" si="39"/>
        <v>890</v>
      </c>
      <c r="X452" s="9" t="str">
        <f t="shared" si="40"/>
        <v>i890</v>
      </c>
    </row>
    <row r="453" spans="1:24" x14ac:dyDescent="0.2">
      <c r="A453" s="9" t="s">
        <v>425</v>
      </c>
      <c r="B453" s="9">
        <v>1</v>
      </c>
      <c r="C453" s="17">
        <v>8</v>
      </c>
      <c r="D453" s="20"/>
      <c r="E453" s="23">
        <v>45222</v>
      </c>
      <c r="F453" s="23" t="s">
        <v>363</v>
      </c>
      <c r="G453" s="25" t="s">
        <v>43</v>
      </c>
      <c r="H453" s="24">
        <v>0.57999999999999996</v>
      </c>
      <c r="I453" s="25" t="s">
        <v>198</v>
      </c>
      <c r="J453" s="25" t="s">
        <v>7</v>
      </c>
      <c r="K453" s="25" t="s">
        <v>9</v>
      </c>
      <c r="L453" s="25">
        <f t="shared" si="41"/>
        <v>689</v>
      </c>
      <c r="M453" s="4" t="str">
        <f>IF(Table3[[#This Row],[Afrondingsdatum YB]]="N/A","-",Table3[[#This Row],[Afrondingsdatum YB]]-Table3[[#This Row],[StartDatum]])</f>
        <v>-</v>
      </c>
      <c r="N453" s="4"/>
      <c r="O453">
        <f t="shared" si="42"/>
        <v>108</v>
      </c>
      <c r="P453">
        <f t="shared" si="42"/>
        <v>117</v>
      </c>
      <c r="Q453">
        <f t="shared" si="42"/>
        <v>99</v>
      </c>
      <c r="R453">
        <f t="shared" si="42"/>
        <v>46</v>
      </c>
      <c r="S453">
        <f t="shared" si="42"/>
        <v>98</v>
      </c>
      <c r="T453">
        <f t="shared" si="42"/>
        <v>111</v>
      </c>
      <c r="U453">
        <f t="shared" si="42"/>
        <v>110</v>
      </c>
      <c r="V453">
        <f t="shared" si="42"/>
        <v>100</v>
      </c>
      <c r="W453" s="5">
        <f t="shared" si="39"/>
        <v>894</v>
      </c>
      <c r="X453" s="9" t="str">
        <f t="shared" si="40"/>
        <v>u894</v>
      </c>
    </row>
    <row r="454" spans="1:24" x14ac:dyDescent="0.2">
      <c r="A454" s="9" t="s">
        <v>425</v>
      </c>
      <c r="B454" s="9">
        <v>1</v>
      </c>
      <c r="C454" s="17">
        <v>8</v>
      </c>
      <c r="D454" s="20"/>
      <c r="E454" s="18">
        <v>45222</v>
      </c>
      <c r="F454" s="18" t="s">
        <v>364</v>
      </c>
      <c r="G454" s="20" t="s">
        <v>44</v>
      </c>
      <c r="H454" s="19">
        <v>1</v>
      </c>
      <c r="I454" s="20" t="s">
        <v>102</v>
      </c>
      <c r="J454" s="34">
        <v>45217</v>
      </c>
      <c r="K454" s="19">
        <v>0.73</v>
      </c>
      <c r="L454" s="20">
        <f t="shared" si="41"/>
        <v>680</v>
      </c>
      <c r="M454" s="4">
        <f>IF(Table3[[#This Row],[Afrondingsdatum YB]]="N/A","-",Table3[[#This Row],[Afrondingsdatum YB]]-Table3[[#This Row],[StartDatum]])</f>
        <v>45217</v>
      </c>
      <c r="N454" s="4"/>
      <c r="O454">
        <f t="shared" si="42"/>
        <v>108</v>
      </c>
      <c r="P454">
        <f t="shared" si="42"/>
        <v>117</v>
      </c>
      <c r="Q454">
        <f t="shared" si="42"/>
        <v>99</v>
      </c>
      <c r="R454">
        <f t="shared" si="42"/>
        <v>97</v>
      </c>
      <c r="S454">
        <f t="shared" si="42"/>
        <v>115</v>
      </c>
      <c r="T454">
        <f t="shared" si="42"/>
        <v>46</v>
      </c>
      <c r="U454">
        <f t="shared" si="42"/>
        <v>98</v>
      </c>
      <c r="V454">
        <f t="shared" si="42"/>
        <v>114</v>
      </c>
      <c r="W454" s="5">
        <f t="shared" si="39"/>
        <v>861</v>
      </c>
      <c r="X454" s="9" t="str">
        <f t="shared" si="40"/>
        <v>u861</v>
      </c>
    </row>
    <row r="455" spans="1:24" x14ac:dyDescent="0.2">
      <c r="A455" s="9" t="s">
        <v>425</v>
      </c>
      <c r="B455" s="9">
        <v>1</v>
      </c>
      <c r="C455" s="17">
        <v>8</v>
      </c>
      <c r="D455" s="20"/>
      <c r="E455" s="23">
        <v>45222</v>
      </c>
      <c r="F455" s="23" t="s">
        <v>363</v>
      </c>
      <c r="G455" s="25" t="s">
        <v>81</v>
      </c>
      <c r="H455" s="24">
        <v>0.53</v>
      </c>
      <c r="I455" s="25" t="s">
        <v>167</v>
      </c>
      <c r="J455" s="25" t="s">
        <v>7</v>
      </c>
      <c r="K455" s="25" t="s">
        <v>9</v>
      </c>
      <c r="L455" s="25">
        <f t="shared" si="41"/>
        <v>668</v>
      </c>
      <c r="M455" s="4" t="str">
        <f>IF(Table3[[#This Row],[Afrondingsdatum YB]]="N/A","-",Table3[[#This Row],[Afrondingsdatum YB]]-Table3[[#This Row],[StartDatum]])</f>
        <v>-</v>
      </c>
      <c r="N455" s="4"/>
      <c r="O455">
        <f t="shared" si="42"/>
        <v>76</v>
      </c>
      <c r="P455">
        <f t="shared" si="42"/>
        <v>117</v>
      </c>
      <c r="Q455">
        <f t="shared" si="42"/>
        <v>99</v>
      </c>
      <c r="R455">
        <f t="shared" si="42"/>
        <v>97</v>
      </c>
      <c r="S455">
        <f t="shared" si="42"/>
        <v>115</v>
      </c>
      <c r="T455">
        <f t="shared" si="42"/>
        <v>46</v>
      </c>
      <c r="U455">
        <f t="shared" si="42"/>
        <v>118</v>
      </c>
      <c r="V455">
        <f t="shared" si="42"/>
        <v>97</v>
      </c>
      <c r="W455" s="5">
        <f t="shared" si="39"/>
        <v>832</v>
      </c>
      <c r="X455" s="9" t="str">
        <f t="shared" si="40"/>
        <v>u832</v>
      </c>
    </row>
    <row r="456" spans="1:24" x14ac:dyDescent="0.2">
      <c r="A456" s="9" t="s">
        <v>425</v>
      </c>
      <c r="B456" s="9">
        <v>1</v>
      </c>
      <c r="C456" s="17">
        <v>8</v>
      </c>
      <c r="D456" s="20"/>
      <c r="E456" s="18">
        <v>45222</v>
      </c>
      <c r="F456" s="18" t="s">
        <v>364</v>
      </c>
      <c r="G456" s="20" t="s">
        <v>45</v>
      </c>
      <c r="H456" s="19">
        <v>0.57999999999999996</v>
      </c>
      <c r="I456" s="20" t="s">
        <v>175</v>
      </c>
      <c r="J456" s="20" t="s">
        <v>7</v>
      </c>
      <c r="K456" s="20" t="s">
        <v>9</v>
      </c>
      <c r="L456" s="20">
        <f t="shared" si="41"/>
        <v>757</v>
      </c>
      <c r="M456" s="4" t="str">
        <f>IF(Table3[[#This Row],[Afrondingsdatum YB]]="N/A","-",Table3[[#This Row],[Afrondingsdatum YB]]-Table3[[#This Row],[StartDatum]])</f>
        <v>-</v>
      </c>
      <c r="N456" s="4"/>
      <c r="O456">
        <f t="shared" si="42"/>
        <v>109</v>
      </c>
      <c r="P456">
        <f t="shared" si="42"/>
        <v>97</v>
      </c>
      <c r="Q456">
        <f t="shared" si="42"/>
        <v>114</v>
      </c>
      <c r="R456">
        <f t="shared" si="42"/>
        <v>116</v>
      </c>
      <c r="S456">
        <f t="shared" si="42"/>
        <v>105</v>
      </c>
      <c r="T456">
        <f t="shared" si="42"/>
        <v>106</v>
      </c>
      <c r="U456">
        <f t="shared" si="42"/>
        <v>110</v>
      </c>
      <c r="V456">
        <f t="shared" si="42"/>
        <v>46</v>
      </c>
      <c r="W456" s="5">
        <f t="shared" si="39"/>
        <v>896</v>
      </c>
      <c r="X456" s="9" t="str">
        <f t="shared" si="40"/>
        <v>a896</v>
      </c>
    </row>
    <row r="457" spans="1:24" x14ac:dyDescent="0.2">
      <c r="A457" s="9" t="s">
        <v>425</v>
      </c>
      <c r="B457" s="9">
        <v>1</v>
      </c>
      <c r="C457" s="17">
        <v>8</v>
      </c>
      <c r="D457" s="20"/>
      <c r="E457" s="23">
        <v>45222</v>
      </c>
      <c r="F457" s="23" t="s">
        <v>364</v>
      </c>
      <c r="G457" s="25" t="s">
        <v>46</v>
      </c>
      <c r="H457" s="24">
        <v>1</v>
      </c>
      <c r="I457" s="25" t="s">
        <v>210</v>
      </c>
      <c r="J457" s="32">
        <v>45217</v>
      </c>
      <c r="K457" s="24">
        <v>0.85</v>
      </c>
      <c r="L457" s="25">
        <f t="shared" si="41"/>
        <v>682</v>
      </c>
      <c r="M457" s="4">
        <f>IF(Table3[[#This Row],[Afrondingsdatum YB]]="N/A","-",Table3[[#This Row],[Afrondingsdatum YB]]-Table3[[#This Row],[StartDatum]])</f>
        <v>45217</v>
      </c>
      <c r="N457" s="4"/>
      <c r="O457">
        <f t="shared" si="42"/>
        <v>109</v>
      </c>
      <c r="P457">
        <f t="shared" si="42"/>
        <v>97</v>
      </c>
      <c r="Q457">
        <f t="shared" si="42"/>
        <v>114</v>
      </c>
      <c r="R457">
        <f t="shared" si="42"/>
        <v>119</v>
      </c>
      <c r="S457">
        <f t="shared" si="42"/>
        <v>97</v>
      </c>
      <c r="T457">
        <f t="shared" si="42"/>
        <v>46</v>
      </c>
      <c r="U457">
        <f t="shared" si="42"/>
        <v>100</v>
      </c>
      <c r="V457">
        <f t="shared" si="42"/>
        <v>97</v>
      </c>
      <c r="W457" s="5">
        <f t="shared" si="39"/>
        <v>869</v>
      </c>
      <c r="X457" s="9" t="str">
        <f t="shared" si="40"/>
        <v>a869</v>
      </c>
    </row>
    <row r="458" spans="1:24" x14ac:dyDescent="0.2">
      <c r="A458" s="9" t="s">
        <v>425</v>
      </c>
      <c r="B458" s="9">
        <v>1</v>
      </c>
      <c r="C458" s="17">
        <v>8</v>
      </c>
      <c r="D458" s="20"/>
      <c r="E458" s="18">
        <v>45222</v>
      </c>
      <c r="F458" s="18" t="s">
        <v>364</v>
      </c>
      <c r="G458" s="20" t="s">
        <v>47</v>
      </c>
      <c r="H458" s="19">
        <v>0</v>
      </c>
      <c r="I458" s="20" t="s">
        <v>8</v>
      </c>
      <c r="J458" s="20" t="s">
        <v>7</v>
      </c>
      <c r="K458" s="20" t="s">
        <v>9</v>
      </c>
      <c r="L458" s="20">
        <f t="shared" si="41"/>
        <v>673</v>
      </c>
      <c r="M458" s="4" t="str">
        <f>IF(Table3[[#This Row],[Afrondingsdatum YB]]="N/A","-",Table3[[#This Row],[Afrondingsdatum YB]]-Table3[[#This Row],[StartDatum]])</f>
        <v>-</v>
      </c>
      <c r="N458" s="4"/>
      <c r="O458">
        <f t="shared" si="42"/>
        <v>109</v>
      </c>
      <c r="P458">
        <f t="shared" si="42"/>
        <v>101</v>
      </c>
      <c r="Q458">
        <f t="shared" si="42"/>
        <v>101</v>
      </c>
      <c r="R458">
        <f t="shared" si="42"/>
        <v>115</v>
      </c>
      <c r="S458">
        <f t="shared" si="42"/>
        <v>46</v>
      </c>
      <c r="T458">
        <f t="shared" si="42"/>
        <v>100</v>
      </c>
      <c r="U458">
        <f t="shared" si="42"/>
        <v>101</v>
      </c>
      <c r="V458">
        <f t="shared" si="42"/>
        <v>46</v>
      </c>
      <c r="W458" s="5">
        <f t="shared" si="39"/>
        <v>784</v>
      </c>
      <c r="X458" s="9" t="str">
        <f t="shared" si="40"/>
        <v>e784</v>
      </c>
    </row>
    <row r="459" spans="1:24" x14ac:dyDescent="0.2">
      <c r="A459" s="9" t="s">
        <v>425</v>
      </c>
      <c r="B459" s="9">
        <v>1</v>
      </c>
      <c r="C459" s="17">
        <v>8</v>
      </c>
      <c r="D459" s="20"/>
      <c r="E459" s="23">
        <v>45222</v>
      </c>
      <c r="F459" s="23" t="s">
        <v>363</v>
      </c>
      <c r="G459" s="25" t="s">
        <v>48</v>
      </c>
      <c r="H459" s="24">
        <v>1</v>
      </c>
      <c r="I459" s="25" t="s">
        <v>189</v>
      </c>
      <c r="J459" s="25" t="s">
        <v>7</v>
      </c>
      <c r="K459" s="25" t="s">
        <v>9</v>
      </c>
      <c r="L459" s="25">
        <f t="shared" si="41"/>
        <v>675</v>
      </c>
      <c r="M459" s="4" t="str">
        <f>IF(Table3[[#This Row],[Afrondingsdatum YB]]="N/A","-",Table3[[#This Row],[Afrondingsdatum YB]]-Table3[[#This Row],[StartDatum]])</f>
        <v>-</v>
      </c>
      <c r="N459" s="4"/>
      <c r="O459">
        <f t="shared" si="42"/>
        <v>109</v>
      </c>
      <c r="P459">
        <f t="shared" si="42"/>
        <v>105</v>
      </c>
      <c r="Q459">
        <f t="shared" si="42"/>
        <v>108</v>
      </c>
      <c r="R459">
        <f t="shared" si="42"/>
        <v>97</v>
      </c>
      <c r="S459">
        <f t="shared" si="42"/>
        <v>110</v>
      </c>
      <c r="T459">
        <f t="shared" si="42"/>
        <v>46</v>
      </c>
      <c r="U459">
        <f t="shared" si="42"/>
        <v>100</v>
      </c>
      <c r="V459">
        <f t="shared" si="42"/>
        <v>105</v>
      </c>
      <c r="W459" s="5">
        <f t="shared" si="39"/>
        <v>871</v>
      </c>
      <c r="X459" s="9" t="str">
        <f t="shared" si="40"/>
        <v>i871</v>
      </c>
    </row>
    <row r="460" spans="1:24" x14ac:dyDescent="0.2">
      <c r="A460" s="9" t="s">
        <v>425</v>
      </c>
      <c r="B460" s="9">
        <v>1</v>
      </c>
      <c r="C460" s="17">
        <v>8</v>
      </c>
      <c r="D460" s="20"/>
      <c r="E460" s="18">
        <v>45222</v>
      </c>
      <c r="F460" s="18" t="s">
        <v>364</v>
      </c>
      <c r="G460" s="20" t="s">
        <v>49</v>
      </c>
      <c r="H460" s="19">
        <v>1</v>
      </c>
      <c r="I460" s="20" t="s">
        <v>211</v>
      </c>
      <c r="J460" s="34">
        <v>45217</v>
      </c>
      <c r="K460" s="19">
        <v>0.73</v>
      </c>
      <c r="L460" s="20">
        <f t="shared" si="41"/>
        <v>690</v>
      </c>
      <c r="M460" s="4">
        <f>IF(Table3[[#This Row],[Afrondingsdatum YB]]="N/A","-",Table3[[#This Row],[Afrondingsdatum YB]]-Table3[[#This Row],[StartDatum]])</f>
        <v>45217</v>
      </c>
      <c r="N460" s="4"/>
      <c r="O460">
        <f t="shared" si="42"/>
        <v>109</v>
      </c>
      <c r="P460">
        <f t="shared" si="42"/>
        <v>105</v>
      </c>
      <c r="Q460">
        <f t="shared" si="42"/>
        <v>114</v>
      </c>
      <c r="R460">
        <f t="shared" si="42"/>
        <v>110</v>
      </c>
      <c r="S460">
        <f t="shared" si="42"/>
        <v>97</v>
      </c>
      <c r="T460">
        <f t="shared" si="42"/>
        <v>46</v>
      </c>
      <c r="U460">
        <f t="shared" si="42"/>
        <v>109</v>
      </c>
      <c r="V460">
        <f t="shared" si="42"/>
        <v>111</v>
      </c>
      <c r="W460" s="5">
        <f t="shared" si="39"/>
        <v>894</v>
      </c>
      <c r="X460" s="9" t="str">
        <f t="shared" si="40"/>
        <v>i894</v>
      </c>
    </row>
    <row r="461" spans="1:24" x14ac:dyDescent="0.2">
      <c r="A461" s="9" t="s">
        <v>425</v>
      </c>
      <c r="B461" s="9">
        <v>1</v>
      </c>
      <c r="C461" s="17">
        <v>8</v>
      </c>
      <c r="D461" s="20"/>
      <c r="E461" s="23">
        <v>45222</v>
      </c>
      <c r="F461" s="23" t="s">
        <v>364</v>
      </c>
      <c r="G461" s="25" t="s">
        <v>50</v>
      </c>
      <c r="H461" s="24">
        <v>1</v>
      </c>
      <c r="I461" s="25" t="s">
        <v>212</v>
      </c>
      <c r="J461" s="32">
        <v>45217</v>
      </c>
      <c r="K461" s="24">
        <v>0.75</v>
      </c>
      <c r="L461" s="25">
        <f t="shared" si="41"/>
        <v>731</v>
      </c>
      <c r="M461" s="4">
        <f>IF(Table3[[#This Row],[Afrondingsdatum YB]]="N/A","-",Table3[[#This Row],[Afrondingsdatum YB]]-Table3[[#This Row],[StartDatum]])</f>
        <v>45217</v>
      </c>
      <c r="N461" s="4"/>
      <c r="O461">
        <f t="shared" si="42"/>
        <v>109</v>
      </c>
      <c r="P461">
        <f t="shared" si="42"/>
        <v>111</v>
      </c>
      <c r="Q461">
        <f t="shared" si="42"/>
        <v>104</v>
      </c>
      <c r="R461">
        <f t="shared" si="42"/>
        <v>97</v>
      </c>
      <c r="S461">
        <f t="shared" si="42"/>
        <v>109</v>
      </c>
      <c r="T461">
        <f t="shared" si="42"/>
        <v>101</v>
      </c>
      <c r="U461">
        <f t="shared" si="42"/>
        <v>100</v>
      </c>
      <c r="V461">
        <f t="shared" si="42"/>
        <v>46</v>
      </c>
      <c r="W461" s="5">
        <f t="shared" si="39"/>
        <v>857</v>
      </c>
      <c r="X461" s="9" t="str">
        <f t="shared" si="40"/>
        <v>o857</v>
      </c>
    </row>
    <row r="462" spans="1:24" x14ac:dyDescent="0.2">
      <c r="A462" s="9" t="s">
        <v>425</v>
      </c>
      <c r="B462" s="9">
        <v>1</v>
      </c>
      <c r="C462" s="17">
        <v>8</v>
      </c>
      <c r="D462" s="20"/>
      <c r="E462" s="18">
        <v>45222</v>
      </c>
      <c r="F462" s="18" t="s">
        <v>362</v>
      </c>
      <c r="G462" s="20" t="s">
        <v>127</v>
      </c>
      <c r="H462" s="19">
        <v>0</v>
      </c>
      <c r="I462" s="20" t="s">
        <v>8</v>
      </c>
      <c r="J462" s="20" t="s">
        <v>7</v>
      </c>
      <c r="K462" s="20" t="s">
        <v>9</v>
      </c>
      <c r="L462" s="20">
        <f t="shared" si="41"/>
        <v>758</v>
      </c>
      <c r="M462" s="4" t="str">
        <f>IF(Table3[[#This Row],[Afrondingsdatum YB]]="N/A","-",Table3[[#This Row],[Afrondingsdatum YB]]-Table3[[#This Row],[StartDatum]])</f>
        <v>-</v>
      </c>
      <c r="N462" s="4"/>
      <c r="O462">
        <f t="shared" si="42"/>
        <v>109</v>
      </c>
      <c r="P462">
        <f t="shared" si="42"/>
        <v>111</v>
      </c>
      <c r="Q462">
        <f t="shared" si="42"/>
        <v>107</v>
      </c>
      <c r="R462">
        <f t="shared" si="42"/>
        <v>104</v>
      </c>
      <c r="S462">
        <f t="shared" si="42"/>
        <v>116</v>
      </c>
      <c r="T462">
        <f t="shared" si="42"/>
        <v>97</v>
      </c>
      <c r="U462">
        <f t="shared" si="42"/>
        <v>114</v>
      </c>
      <c r="V462">
        <f t="shared" si="42"/>
        <v>46</v>
      </c>
      <c r="W462" s="5">
        <f t="shared" si="39"/>
        <v>885</v>
      </c>
      <c r="X462" s="9" t="str">
        <f t="shared" si="40"/>
        <v>o885</v>
      </c>
    </row>
    <row r="463" spans="1:24" x14ac:dyDescent="0.2">
      <c r="A463" s="9" t="s">
        <v>425</v>
      </c>
      <c r="B463" s="9">
        <v>1</v>
      </c>
      <c r="C463" s="17">
        <v>8</v>
      </c>
      <c r="D463" s="20"/>
      <c r="E463" s="23">
        <v>45222</v>
      </c>
      <c r="F463" s="23" t="s">
        <v>363</v>
      </c>
      <c r="G463" s="25" t="s">
        <v>51</v>
      </c>
      <c r="H463" s="24">
        <v>0.56999999999999995</v>
      </c>
      <c r="I463" s="25" t="s">
        <v>213</v>
      </c>
      <c r="J463" s="25" t="s">
        <v>7</v>
      </c>
      <c r="K463" s="25" t="s">
        <v>9</v>
      </c>
      <c r="L463" s="25">
        <f t="shared" si="41"/>
        <v>742</v>
      </c>
      <c r="M463" s="4" t="str">
        <f>IF(Table3[[#This Row],[Afrondingsdatum YB]]="N/A","-",Table3[[#This Row],[Afrondingsdatum YB]]-Table3[[#This Row],[StartDatum]])</f>
        <v>-</v>
      </c>
      <c r="N463" s="4"/>
      <c r="O463">
        <f t="shared" si="42"/>
        <v>110</v>
      </c>
      <c r="P463">
        <f t="shared" si="42"/>
        <v>97</v>
      </c>
      <c r="Q463">
        <f t="shared" si="42"/>
        <v>111</v>
      </c>
      <c r="R463">
        <f t="shared" si="42"/>
        <v>117</v>
      </c>
      <c r="S463">
        <f t="shared" si="42"/>
        <v>102</v>
      </c>
      <c r="T463">
        <f t="shared" si="42"/>
        <v>97</v>
      </c>
      <c r="U463">
        <f t="shared" si="42"/>
        <v>108</v>
      </c>
      <c r="V463">
        <f t="shared" si="42"/>
        <v>46</v>
      </c>
      <c r="W463" s="5">
        <f t="shared" si="39"/>
        <v>874</v>
      </c>
      <c r="X463" s="9" t="str">
        <f t="shared" si="40"/>
        <v>a874</v>
      </c>
    </row>
    <row r="464" spans="1:24" x14ac:dyDescent="0.2">
      <c r="A464" s="9" t="s">
        <v>425</v>
      </c>
      <c r="B464" s="9">
        <v>1</v>
      </c>
      <c r="C464" s="17">
        <v>8</v>
      </c>
      <c r="D464" s="20"/>
      <c r="E464" s="18">
        <v>45222</v>
      </c>
      <c r="F464" s="18" t="s">
        <v>362</v>
      </c>
      <c r="G464" s="20" t="s">
        <v>52</v>
      </c>
      <c r="H464" s="19">
        <v>0</v>
      </c>
      <c r="I464" s="20" t="s">
        <v>8</v>
      </c>
      <c r="J464" s="20" t="s">
        <v>7</v>
      </c>
      <c r="K464" s="20" t="s">
        <v>9</v>
      </c>
      <c r="L464" s="20">
        <f t="shared" si="41"/>
        <v>684</v>
      </c>
      <c r="M464" s="4" t="str">
        <f>IF(Table3[[#This Row],[Afrondingsdatum YB]]="N/A","-",Table3[[#This Row],[Afrondingsdatum YB]]-Table3[[#This Row],[StartDatum]])</f>
        <v>-</v>
      </c>
      <c r="N464" s="4"/>
      <c r="O464">
        <f t="shared" si="42"/>
        <v>110</v>
      </c>
      <c r="P464">
        <f t="shared" si="42"/>
        <v>105</v>
      </c>
      <c r="Q464">
        <f t="shared" si="42"/>
        <v>99</v>
      </c>
      <c r="R464">
        <f t="shared" si="42"/>
        <v>107</v>
      </c>
      <c r="S464">
        <f t="shared" si="42"/>
        <v>46</v>
      </c>
      <c r="T464">
        <f t="shared" si="42"/>
        <v>106</v>
      </c>
      <c r="U464">
        <f t="shared" si="42"/>
        <v>111</v>
      </c>
      <c r="V464">
        <f t="shared" si="42"/>
        <v>111</v>
      </c>
      <c r="W464" s="5">
        <f t="shared" si="39"/>
        <v>860</v>
      </c>
      <c r="X464" s="9" t="str">
        <f t="shared" si="40"/>
        <v>i860</v>
      </c>
    </row>
    <row r="465" spans="1:24" x14ac:dyDescent="0.2">
      <c r="A465" s="9" t="s">
        <v>425</v>
      </c>
      <c r="B465" s="9">
        <v>1</v>
      </c>
      <c r="C465" s="17">
        <v>8</v>
      </c>
      <c r="D465" s="20"/>
      <c r="E465" s="23">
        <v>45222</v>
      </c>
      <c r="F465" s="23" t="s">
        <v>364</v>
      </c>
      <c r="G465" s="25" t="s">
        <v>53</v>
      </c>
      <c r="H465" s="24">
        <v>0</v>
      </c>
      <c r="I465" s="25" t="s">
        <v>8</v>
      </c>
      <c r="J465" s="25" t="s">
        <v>7</v>
      </c>
      <c r="K465" s="25" t="s">
        <v>9</v>
      </c>
      <c r="L465" s="25">
        <f t="shared" si="41"/>
        <v>737</v>
      </c>
      <c r="M465" s="4" t="str">
        <f>IF(Table3[[#This Row],[Afrondingsdatum YB]]="N/A","-",Table3[[#This Row],[Afrondingsdatum YB]]-Table3[[#This Row],[StartDatum]])</f>
        <v>-</v>
      </c>
      <c r="N465" s="4"/>
      <c r="O465">
        <f t="shared" si="42"/>
        <v>110</v>
      </c>
      <c r="P465">
        <f t="shared" si="42"/>
        <v>105</v>
      </c>
      <c r="Q465">
        <f t="shared" si="42"/>
        <v>99</v>
      </c>
      <c r="R465">
        <f t="shared" si="42"/>
        <v>107</v>
      </c>
      <c r="S465">
        <f t="shared" si="42"/>
        <v>111</v>
      </c>
      <c r="T465">
        <f t="shared" si="42"/>
        <v>108</v>
      </c>
      <c r="U465">
        <f t="shared" si="42"/>
        <v>97</v>
      </c>
      <c r="V465">
        <f t="shared" si="42"/>
        <v>115</v>
      </c>
      <c r="W465" s="5">
        <f t="shared" si="39"/>
        <v>917</v>
      </c>
      <c r="X465" s="9" t="str">
        <f t="shared" si="40"/>
        <v>i917</v>
      </c>
    </row>
    <row r="466" spans="1:24" x14ac:dyDescent="0.2">
      <c r="A466" s="9" t="s">
        <v>425</v>
      </c>
      <c r="B466" s="9">
        <v>1</v>
      </c>
      <c r="C466" s="17">
        <v>8</v>
      </c>
      <c r="D466" s="20"/>
      <c r="E466" s="18">
        <v>45222</v>
      </c>
      <c r="F466" s="18" t="s">
        <v>364</v>
      </c>
      <c r="G466" s="20" t="s">
        <v>54</v>
      </c>
      <c r="H466" s="19">
        <v>0.04</v>
      </c>
      <c r="I466" s="20" t="s">
        <v>76</v>
      </c>
      <c r="J466" s="20" t="s">
        <v>7</v>
      </c>
      <c r="K466" s="20" t="s">
        <v>9</v>
      </c>
      <c r="L466" s="20">
        <f t="shared" si="41"/>
        <v>705</v>
      </c>
      <c r="M466" s="4" t="str">
        <f>IF(Table3[[#This Row],[Afrondingsdatum YB]]="N/A","-",Table3[[#This Row],[Afrondingsdatum YB]]-Table3[[#This Row],[StartDatum]])</f>
        <v>-</v>
      </c>
      <c r="N466" s="4"/>
      <c r="O466">
        <f t="shared" si="42"/>
        <v>110</v>
      </c>
      <c r="P466">
        <f t="shared" si="42"/>
        <v>105</v>
      </c>
      <c r="Q466">
        <f t="shared" si="42"/>
        <v>115</v>
      </c>
      <c r="R466">
        <f t="shared" si="42"/>
        <v>114</v>
      </c>
      <c r="S466">
        <f t="shared" si="42"/>
        <v>105</v>
      </c>
      <c r="T466">
        <f t="shared" si="42"/>
        <v>110</v>
      </c>
      <c r="U466">
        <f t="shared" si="42"/>
        <v>46</v>
      </c>
      <c r="V466">
        <f t="shared" si="42"/>
        <v>104</v>
      </c>
      <c r="W466" s="5">
        <f t="shared" si="39"/>
        <v>901</v>
      </c>
      <c r="X466" s="9" t="str">
        <f t="shared" si="40"/>
        <v>i901</v>
      </c>
    </row>
    <row r="467" spans="1:24" x14ac:dyDescent="0.2">
      <c r="A467" s="9" t="s">
        <v>425</v>
      </c>
      <c r="B467" s="9">
        <v>1</v>
      </c>
      <c r="C467" s="17">
        <v>8</v>
      </c>
      <c r="D467" s="20"/>
      <c r="E467" s="23">
        <v>45222</v>
      </c>
      <c r="F467" s="23" t="s">
        <v>364</v>
      </c>
      <c r="G467" s="25" t="s">
        <v>55</v>
      </c>
      <c r="H467" s="24">
        <v>1</v>
      </c>
      <c r="I467" s="25" t="s">
        <v>214</v>
      </c>
      <c r="J467" s="32">
        <v>45217</v>
      </c>
      <c r="K467" s="24">
        <v>0.95</v>
      </c>
      <c r="L467" s="25">
        <f t="shared" si="41"/>
        <v>681</v>
      </c>
      <c r="M467" s="4">
        <f>IF(Table3[[#This Row],[Afrondingsdatum YB]]="N/A","-",Table3[[#This Row],[Afrondingsdatum YB]]-Table3[[#This Row],[StartDatum]])</f>
        <v>45217</v>
      </c>
      <c r="N467" s="4"/>
      <c r="O467">
        <f t="shared" si="42"/>
        <v>110</v>
      </c>
      <c r="P467">
        <f t="shared" si="42"/>
        <v>111</v>
      </c>
      <c r="Q467">
        <f t="shared" si="42"/>
        <v>101</v>
      </c>
      <c r="R467">
        <f t="shared" si="42"/>
        <v>108</v>
      </c>
      <c r="S467">
        <f t="shared" si="42"/>
        <v>108</v>
      </c>
      <c r="T467">
        <f t="shared" si="42"/>
        <v>97</v>
      </c>
      <c r="U467">
        <f t="shared" si="42"/>
        <v>46</v>
      </c>
      <c r="V467">
        <f t="shared" si="42"/>
        <v>108</v>
      </c>
      <c r="W467" s="5">
        <f t="shared" si="39"/>
        <v>855</v>
      </c>
      <c r="X467" s="9" t="str">
        <f t="shared" si="40"/>
        <v>o855</v>
      </c>
    </row>
    <row r="468" spans="1:24" x14ac:dyDescent="0.2">
      <c r="A468" s="9" t="s">
        <v>425</v>
      </c>
      <c r="B468" s="9">
        <v>1</v>
      </c>
      <c r="C468" s="17">
        <v>8</v>
      </c>
      <c r="D468" s="20"/>
      <c r="E468" s="18">
        <v>45222</v>
      </c>
      <c r="F468" s="18" t="s">
        <v>363</v>
      </c>
      <c r="G468" s="20" t="s">
        <v>56</v>
      </c>
      <c r="H468" s="19">
        <v>0.99</v>
      </c>
      <c r="I468" s="20" t="s">
        <v>189</v>
      </c>
      <c r="J468" s="20" t="s">
        <v>7</v>
      </c>
      <c r="K468" s="20" t="s">
        <v>9</v>
      </c>
      <c r="L468" s="20">
        <f t="shared" si="41"/>
        <v>708</v>
      </c>
      <c r="M468" s="4" t="str">
        <f>IF(Table3[[#This Row],[Afrondingsdatum YB]]="N/A","-",Table3[[#This Row],[Afrondingsdatum YB]]-Table3[[#This Row],[StartDatum]])</f>
        <v>-</v>
      </c>
      <c r="N468" s="4"/>
      <c r="O468">
        <f t="shared" si="42"/>
        <v>110</v>
      </c>
      <c r="P468">
        <f t="shared" si="42"/>
        <v>117</v>
      </c>
      <c r="Q468">
        <f t="shared" si="42"/>
        <v>112</v>
      </c>
      <c r="R468">
        <f t="shared" si="42"/>
        <v>101</v>
      </c>
      <c r="S468">
        <f t="shared" si="42"/>
        <v>108</v>
      </c>
      <c r="T468">
        <f t="shared" si="42"/>
        <v>46</v>
      </c>
      <c r="U468">
        <f t="shared" si="42"/>
        <v>114</v>
      </c>
      <c r="V468">
        <f t="shared" si="42"/>
        <v>117</v>
      </c>
      <c r="W468" s="5">
        <f t="shared" si="39"/>
        <v>915</v>
      </c>
      <c r="X468" s="9" t="str">
        <f t="shared" si="40"/>
        <v>u915</v>
      </c>
    </row>
    <row r="469" spans="1:24" x14ac:dyDescent="0.2">
      <c r="A469" s="9" t="s">
        <v>425</v>
      </c>
      <c r="B469" s="9">
        <v>1</v>
      </c>
      <c r="C469" s="17">
        <v>8</v>
      </c>
      <c r="D469" s="20"/>
      <c r="E469" s="23">
        <v>45222</v>
      </c>
      <c r="F469" s="23" t="s">
        <v>364</v>
      </c>
      <c r="G469" s="25" t="s">
        <v>57</v>
      </c>
      <c r="H469" s="24">
        <v>0.68</v>
      </c>
      <c r="I469" s="25" t="s">
        <v>183</v>
      </c>
      <c r="J469" s="25" t="s">
        <v>7</v>
      </c>
      <c r="K469" s="25" t="s">
        <v>9</v>
      </c>
      <c r="L469" s="25">
        <f t="shared" si="41"/>
        <v>762</v>
      </c>
      <c r="M469" s="4" t="str">
        <f>IF(Table3[[#This Row],[Afrondingsdatum YB]]="N/A","-",Table3[[#This Row],[Afrondingsdatum YB]]-Table3[[#This Row],[StartDatum]])</f>
        <v>-</v>
      </c>
      <c r="N469" s="4"/>
      <c r="O469">
        <f t="shared" si="42"/>
        <v>111</v>
      </c>
      <c r="P469">
        <f t="shared" si="42"/>
        <v>108</v>
      </c>
      <c r="Q469">
        <f t="shared" si="42"/>
        <v>105</v>
      </c>
      <c r="R469">
        <f t="shared" si="42"/>
        <v>118</v>
      </c>
      <c r="S469">
        <f t="shared" si="42"/>
        <v>105</v>
      </c>
      <c r="T469">
        <f t="shared" si="42"/>
        <v>101</v>
      </c>
      <c r="U469">
        <f t="shared" si="42"/>
        <v>114</v>
      </c>
      <c r="V469">
        <f t="shared" si="42"/>
        <v>46</v>
      </c>
      <c r="W469" s="5">
        <f t="shared" si="39"/>
        <v>876</v>
      </c>
      <c r="X469" s="9" t="str">
        <f t="shared" si="40"/>
        <v>l876</v>
      </c>
    </row>
    <row r="470" spans="1:24" x14ac:dyDescent="0.2">
      <c r="A470" s="9" t="s">
        <v>425</v>
      </c>
      <c r="B470" s="9">
        <v>1</v>
      </c>
      <c r="C470" s="17">
        <v>8</v>
      </c>
      <c r="D470" s="20"/>
      <c r="E470" s="18">
        <v>45222</v>
      </c>
      <c r="F470" s="18" t="s">
        <v>362</v>
      </c>
      <c r="G470" s="20" t="s">
        <v>58</v>
      </c>
      <c r="H470" s="19">
        <v>0.4</v>
      </c>
      <c r="I470" s="20" t="s">
        <v>215</v>
      </c>
      <c r="J470" s="20" t="s">
        <v>7</v>
      </c>
      <c r="K470" s="20" t="s">
        <v>9</v>
      </c>
      <c r="L470" s="20">
        <f t="shared" si="41"/>
        <v>681</v>
      </c>
      <c r="M470" s="4" t="str">
        <f>IF(Table3[[#This Row],[Afrondingsdatum YB]]="N/A","-",Table3[[#This Row],[Afrondingsdatum YB]]-Table3[[#This Row],[StartDatum]])</f>
        <v>-</v>
      </c>
      <c r="N470" s="4"/>
      <c r="O470">
        <f t="shared" si="42"/>
        <v>112</v>
      </c>
      <c r="P470">
        <f t="shared" si="42"/>
        <v>97</v>
      </c>
      <c r="Q470">
        <f t="shared" si="42"/>
        <v>117</v>
      </c>
      <c r="R470">
        <f t="shared" si="42"/>
        <v>108</v>
      </c>
      <c r="S470">
        <f t="shared" si="42"/>
        <v>46</v>
      </c>
      <c r="T470">
        <f t="shared" si="42"/>
        <v>100</v>
      </c>
      <c r="U470">
        <f t="shared" si="42"/>
        <v>101</v>
      </c>
      <c r="V470">
        <f t="shared" si="42"/>
        <v>46</v>
      </c>
      <c r="W470" s="5">
        <f t="shared" si="39"/>
        <v>832</v>
      </c>
      <c r="X470" s="9" t="str">
        <f t="shared" si="40"/>
        <v>a832</v>
      </c>
    </row>
    <row r="471" spans="1:24" x14ac:dyDescent="0.2">
      <c r="A471" s="9" t="s">
        <v>425</v>
      </c>
      <c r="B471" s="9">
        <v>1</v>
      </c>
      <c r="C471" s="17">
        <v>8</v>
      </c>
      <c r="D471" s="20"/>
      <c r="E471" s="23">
        <v>45222</v>
      </c>
      <c r="F471" s="23" t="s">
        <v>364</v>
      </c>
      <c r="G471" s="25" t="s">
        <v>59</v>
      </c>
      <c r="H471" s="24">
        <v>0.21</v>
      </c>
      <c r="I471" s="25" t="s">
        <v>195</v>
      </c>
      <c r="J471" s="25" t="s">
        <v>7</v>
      </c>
      <c r="K471" s="25" t="s">
        <v>9</v>
      </c>
      <c r="L471" s="25">
        <f t="shared" si="41"/>
        <v>695</v>
      </c>
      <c r="M471" s="4" t="str">
        <f>IF(Table3[[#This Row],[Afrondingsdatum YB]]="N/A","-",Table3[[#This Row],[Afrondingsdatum YB]]-Table3[[#This Row],[StartDatum]])</f>
        <v>-</v>
      </c>
      <c r="N471" s="4"/>
      <c r="O471">
        <f t="shared" si="42"/>
        <v>112</v>
      </c>
      <c r="P471">
        <f t="shared" si="42"/>
        <v>105</v>
      </c>
      <c r="Q471">
        <f t="shared" si="42"/>
        <v>101</v>
      </c>
      <c r="R471">
        <f t="shared" si="42"/>
        <v>116</v>
      </c>
      <c r="S471">
        <f t="shared" si="42"/>
        <v>101</v>
      </c>
      <c r="T471">
        <f t="shared" si="42"/>
        <v>114</v>
      </c>
      <c r="U471">
        <f t="shared" si="42"/>
        <v>46</v>
      </c>
      <c r="V471">
        <f t="shared" si="42"/>
        <v>109</v>
      </c>
      <c r="W471" s="5">
        <f t="shared" si="39"/>
        <v>867</v>
      </c>
      <c r="X471" s="9" t="str">
        <f t="shared" si="40"/>
        <v>i867</v>
      </c>
    </row>
    <row r="472" spans="1:24" x14ac:dyDescent="0.2">
      <c r="A472" s="9" t="s">
        <v>425</v>
      </c>
      <c r="B472" s="9">
        <v>1</v>
      </c>
      <c r="C472" s="17">
        <v>8</v>
      </c>
      <c r="D472" s="20"/>
      <c r="E472" s="18">
        <v>45222</v>
      </c>
      <c r="F472" s="18" t="s">
        <v>362</v>
      </c>
      <c r="G472" s="20" t="s">
        <v>60</v>
      </c>
      <c r="H472" s="19">
        <v>0.89</v>
      </c>
      <c r="I472" s="20" t="s">
        <v>197</v>
      </c>
      <c r="J472" s="20" t="s">
        <v>7</v>
      </c>
      <c r="K472" s="20" t="s">
        <v>9</v>
      </c>
      <c r="L472" s="20">
        <f t="shared" si="41"/>
        <v>703</v>
      </c>
      <c r="M472" s="4" t="str">
        <f>IF(Table3[[#This Row],[Afrondingsdatum YB]]="N/A","-",Table3[[#This Row],[Afrondingsdatum YB]]-Table3[[#This Row],[StartDatum]])</f>
        <v>-</v>
      </c>
      <c r="N472" s="4"/>
      <c r="O472">
        <f t="shared" si="42"/>
        <v>114</v>
      </c>
      <c r="P472">
        <f t="shared" si="42"/>
        <v>101</v>
      </c>
      <c r="Q472">
        <f t="shared" si="42"/>
        <v>110</v>
      </c>
      <c r="R472">
        <f t="shared" si="42"/>
        <v>115</v>
      </c>
      <c r="S472">
        <f t="shared" si="42"/>
        <v>46</v>
      </c>
      <c r="T472">
        <f t="shared" si="42"/>
        <v>103</v>
      </c>
      <c r="U472">
        <f t="shared" si="42"/>
        <v>114</v>
      </c>
      <c r="V472">
        <f t="shared" si="42"/>
        <v>111</v>
      </c>
      <c r="W472" s="5">
        <f t="shared" si="39"/>
        <v>897</v>
      </c>
      <c r="X472" s="9" t="str">
        <f t="shared" si="40"/>
        <v>e897</v>
      </c>
    </row>
    <row r="473" spans="1:24" x14ac:dyDescent="0.2">
      <c r="A473" s="9" t="s">
        <v>425</v>
      </c>
      <c r="B473" s="9">
        <v>1</v>
      </c>
      <c r="C473" s="17">
        <v>8</v>
      </c>
      <c r="D473" s="20"/>
      <c r="E473" s="23">
        <v>45222</v>
      </c>
      <c r="F473" s="23" t="s">
        <v>363</v>
      </c>
      <c r="G473" s="25" t="s">
        <v>61</v>
      </c>
      <c r="H473" s="24">
        <v>0.13</v>
      </c>
      <c r="I473" s="25" t="s">
        <v>88</v>
      </c>
      <c r="J473" s="25" t="s">
        <v>7</v>
      </c>
      <c r="K473" s="25" t="s">
        <v>9</v>
      </c>
      <c r="L473" s="25">
        <f t="shared" si="41"/>
        <v>697</v>
      </c>
      <c r="M473" s="4" t="str">
        <f>IF(Table3[[#This Row],[Afrondingsdatum YB]]="N/A","-",Table3[[#This Row],[Afrondingsdatum YB]]-Table3[[#This Row],[StartDatum]])</f>
        <v>-</v>
      </c>
      <c r="N473" s="4"/>
      <c r="O473">
        <f t="shared" si="42"/>
        <v>114</v>
      </c>
      <c r="P473">
        <f t="shared" si="42"/>
        <v>111</v>
      </c>
      <c r="Q473">
        <f t="shared" si="42"/>
        <v>119</v>
      </c>
      <c r="R473">
        <f t="shared" si="42"/>
        <v>97</v>
      </c>
      <c r="S473">
        <f t="shared" si="42"/>
        <v>110</v>
      </c>
      <c r="T473">
        <f t="shared" si="42"/>
        <v>46</v>
      </c>
      <c r="U473">
        <f t="shared" si="42"/>
        <v>100</v>
      </c>
      <c r="V473">
        <f t="shared" si="42"/>
        <v>101</v>
      </c>
      <c r="W473" s="5">
        <f t="shared" si="39"/>
        <v>908</v>
      </c>
      <c r="X473" s="9" t="str">
        <f t="shared" si="40"/>
        <v>o908</v>
      </c>
    </row>
    <row r="474" spans="1:24" x14ac:dyDescent="0.2">
      <c r="A474" s="9" t="s">
        <v>425</v>
      </c>
      <c r="B474" s="9">
        <v>1</v>
      </c>
      <c r="C474" s="17">
        <v>8</v>
      </c>
      <c r="D474" s="20"/>
      <c r="E474" s="18">
        <v>45222</v>
      </c>
      <c r="F474" s="18" t="s">
        <v>363</v>
      </c>
      <c r="G474" s="20" t="s">
        <v>84</v>
      </c>
      <c r="H474" s="19">
        <v>0.69</v>
      </c>
      <c r="I474" s="20" t="s">
        <v>122</v>
      </c>
      <c r="J474" s="20" t="s">
        <v>7</v>
      </c>
      <c r="K474" s="20" t="s">
        <v>9</v>
      </c>
      <c r="L474" s="20">
        <f t="shared" si="41"/>
        <v>683</v>
      </c>
      <c r="M474" s="4" t="str">
        <f>IF(Table3[[#This Row],[Afrondingsdatum YB]]="N/A","-",Table3[[#This Row],[Afrondingsdatum YB]]-Table3[[#This Row],[StartDatum]])</f>
        <v>-</v>
      </c>
      <c r="N474" s="4"/>
      <c r="O474">
        <f t="shared" si="42"/>
        <v>115</v>
      </c>
      <c r="P474">
        <f t="shared" si="42"/>
        <v>97</v>
      </c>
      <c r="Q474">
        <f t="shared" si="42"/>
        <v>110</v>
      </c>
      <c r="R474">
        <f t="shared" si="42"/>
        <v>100</v>
      </c>
      <c r="S474">
        <f t="shared" si="42"/>
        <v>101</v>
      </c>
      <c r="T474">
        <f t="shared" si="42"/>
        <v>114</v>
      </c>
      <c r="U474">
        <f t="shared" si="42"/>
        <v>46</v>
      </c>
      <c r="V474">
        <f t="shared" si="42"/>
        <v>98</v>
      </c>
      <c r="W474" s="5">
        <f t="shared" si="39"/>
        <v>878</v>
      </c>
      <c r="X474" s="9" t="str">
        <f t="shared" si="40"/>
        <v>a878</v>
      </c>
    </row>
    <row r="475" spans="1:24" x14ac:dyDescent="0.2">
      <c r="A475" s="9" t="s">
        <v>425</v>
      </c>
      <c r="B475" s="9">
        <v>1</v>
      </c>
      <c r="C475" s="17">
        <v>8</v>
      </c>
      <c r="D475" s="20"/>
      <c r="E475" s="23">
        <v>45222</v>
      </c>
      <c r="F475" s="23" t="s">
        <v>363</v>
      </c>
      <c r="G475" s="25" t="s">
        <v>62</v>
      </c>
      <c r="H475" s="24">
        <v>1</v>
      </c>
      <c r="I475" s="25" t="s">
        <v>162</v>
      </c>
      <c r="J475" s="32">
        <v>45202</v>
      </c>
      <c r="K475" s="24">
        <v>0.75</v>
      </c>
      <c r="L475" s="25">
        <f t="shared" si="41"/>
        <v>670</v>
      </c>
      <c r="M475" s="4">
        <f>IF(Table3[[#This Row],[Afrondingsdatum YB]]="N/A","-",Table3[[#This Row],[Afrondingsdatum YB]]-Table3[[#This Row],[StartDatum]])</f>
        <v>45202</v>
      </c>
      <c r="N475" s="4"/>
      <c r="O475">
        <f t="shared" si="42"/>
        <v>115</v>
      </c>
      <c r="P475">
        <f t="shared" si="42"/>
        <v>97</v>
      </c>
      <c r="Q475">
        <f t="shared" si="42"/>
        <v>114</v>
      </c>
      <c r="R475">
        <f t="shared" si="42"/>
        <v>97</v>
      </c>
      <c r="S475">
        <f t="shared" si="42"/>
        <v>46</v>
      </c>
      <c r="T475">
        <f t="shared" si="42"/>
        <v>100</v>
      </c>
      <c r="U475">
        <f t="shared" si="42"/>
        <v>101</v>
      </c>
      <c r="V475">
        <f t="shared" si="42"/>
        <v>46</v>
      </c>
      <c r="W475" s="5">
        <f t="shared" si="39"/>
        <v>823</v>
      </c>
      <c r="X475" s="9" t="str">
        <f t="shared" si="40"/>
        <v>a823</v>
      </c>
    </row>
    <row r="476" spans="1:24" x14ac:dyDescent="0.2">
      <c r="A476" s="9" t="s">
        <v>425</v>
      </c>
      <c r="B476" s="9">
        <v>1</v>
      </c>
      <c r="C476" s="17">
        <v>8</v>
      </c>
      <c r="D476" s="20"/>
      <c r="E476" s="18">
        <v>45222</v>
      </c>
      <c r="F476" s="18" t="s">
        <v>362</v>
      </c>
      <c r="G476" s="20" t="s">
        <v>131</v>
      </c>
      <c r="H476" s="19">
        <v>0.13</v>
      </c>
      <c r="I476" s="20" t="s">
        <v>216</v>
      </c>
      <c r="J476" s="20" t="s">
        <v>7</v>
      </c>
      <c r="K476" s="20" t="s">
        <v>9</v>
      </c>
      <c r="L476" s="20">
        <f t="shared" si="41"/>
        <v>675</v>
      </c>
      <c r="M476" s="4" t="str">
        <f>IF(Table3[[#This Row],[Afrondingsdatum YB]]="N/A","-",Table3[[#This Row],[Afrondingsdatum YB]]-Table3[[#This Row],[StartDatum]])</f>
        <v>-</v>
      </c>
      <c r="N476" s="4"/>
      <c r="O476">
        <f t="shared" si="42"/>
        <v>115</v>
      </c>
      <c r="P476">
        <f t="shared" si="42"/>
        <v>97</v>
      </c>
      <c r="Q476">
        <f t="shared" si="42"/>
        <v>114</v>
      </c>
      <c r="R476">
        <f t="shared" si="42"/>
        <v>97</v>
      </c>
      <c r="S476">
        <f t="shared" si="42"/>
        <v>104</v>
      </c>
      <c r="T476">
        <f t="shared" si="42"/>
        <v>46</v>
      </c>
      <c r="U476">
        <f t="shared" si="42"/>
        <v>102</v>
      </c>
      <c r="V476">
        <f t="shared" si="42"/>
        <v>97</v>
      </c>
      <c r="W476" s="5">
        <f t="shared" si="39"/>
        <v>879</v>
      </c>
      <c r="X476" s="9" t="str">
        <f t="shared" si="40"/>
        <v>a879</v>
      </c>
    </row>
    <row r="477" spans="1:24" x14ac:dyDescent="0.2">
      <c r="A477" s="9" t="s">
        <v>425</v>
      </c>
      <c r="B477" s="9">
        <v>1</v>
      </c>
      <c r="C477" s="17">
        <v>8</v>
      </c>
      <c r="D477" s="20"/>
      <c r="E477" s="23">
        <v>45222</v>
      </c>
      <c r="F477" s="23" t="s">
        <v>364</v>
      </c>
      <c r="G477" s="25" t="s">
        <v>108</v>
      </c>
      <c r="H477" s="24">
        <v>0.06</v>
      </c>
      <c r="I477" s="25" t="s">
        <v>96</v>
      </c>
      <c r="J477" s="25" t="s">
        <v>7</v>
      </c>
      <c r="K477" s="25" t="s">
        <v>9</v>
      </c>
      <c r="L477" s="25">
        <f t="shared" si="41"/>
        <v>760</v>
      </c>
      <c r="M477" s="4" t="str">
        <f>IF(Table3[[#This Row],[Afrondingsdatum YB]]="N/A","-",Table3[[#This Row],[Afrondingsdatum YB]]-Table3[[#This Row],[StartDatum]])</f>
        <v>-</v>
      </c>
      <c r="N477" s="4"/>
      <c r="O477">
        <f t="shared" si="42"/>
        <v>115</v>
      </c>
      <c r="P477">
        <f t="shared" si="42"/>
        <v>97</v>
      </c>
      <c r="Q477">
        <f t="shared" si="42"/>
        <v>118</v>
      </c>
      <c r="R477">
        <f t="shared" si="42"/>
        <v>101</v>
      </c>
      <c r="S477">
        <f t="shared" si="42"/>
        <v>114</v>
      </c>
      <c r="T477">
        <f t="shared" si="42"/>
        <v>105</v>
      </c>
      <c r="U477">
        <f t="shared" si="42"/>
        <v>110</v>
      </c>
      <c r="V477">
        <f t="shared" si="42"/>
        <v>105</v>
      </c>
      <c r="W477" s="5">
        <f t="shared" si="39"/>
        <v>977</v>
      </c>
      <c r="X477" s="9" t="str">
        <f t="shared" si="40"/>
        <v>a977</v>
      </c>
    </row>
    <row r="478" spans="1:24" x14ac:dyDescent="0.2">
      <c r="A478" s="9" t="s">
        <v>425</v>
      </c>
      <c r="B478" s="9">
        <v>1</v>
      </c>
      <c r="C478" s="17">
        <v>8</v>
      </c>
      <c r="D478" s="20"/>
      <c r="E478" s="18">
        <v>45222</v>
      </c>
      <c r="F478" s="18" t="s">
        <v>364</v>
      </c>
      <c r="G478" s="20" t="s">
        <v>109</v>
      </c>
      <c r="H478" s="19">
        <v>7.0000000000000007E-2</v>
      </c>
      <c r="I478" s="20" t="s">
        <v>197</v>
      </c>
      <c r="J478" s="20" t="s">
        <v>7</v>
      </c>
      <c r="K478" s="20" t="s">
        <v>9</v>
      </c>
      <c r="L478" s="20">
        <f t="shared" si="41"/>
        <v>696</v>
      </c>
      <c r="M478" s="4" t="str">
        <f>IF(Table3[[#This Row],[Afrondingsdatum YB]]="N/A","-",Table3[[#This Row],[Afrondingsdatum YB]]-Table3[[#This Row],[StartDatum]])</f>
        <v>-</v>
      </c>
      <c r="N478" s="4"/>
      <c r="O478">
        <f t="shared" si="42"/>
        <v>115</v>
      </c>
      <c r="P478">
        <f t="shared" si="42"/>
        <v>101</v>
      </c>
      <c r="Q478">
        <f t="shared" si="42"/>
        <v>109</v>
      </c>
      <c r="R478">
        <f t="shared" si="42"/>
        <v>46</v>
      </c>
      <c r="S478">
        <f t="shared" si="42"/>
        <v>118</v>
      </c>
      <c r="T478">
        <f t="shared" si="42"/>
        <v>97</v>
      </c>
      <c r="U478">
        <f t="shared" si="42"/>
        <v>110</v>
      </c>
      <c r="V478">
        <f t="shared" si="42"/>
        <v>46</v>
      </c>
      <c r="W478" s="5">
        <f t="shared" si="39"/>
        <v>875</v>
      </c>
      <c r="X478" s="9" t="str">
        <f t="shared" si="40"/>
        <v>e875</v>
      </c>
    </row>
    <row r="479" spans="1:24" x14ac:dyDescent="0.2">
      <c r="A479" s="9" t="s">
        <v>425</v>
      </c>
      <c r="B479" s="9">
        <v>1</v>
      </c>
      <c r="C479" s="17">
        <v>8</v>
      </c>
      <c r="D479" s="20"/>
      <c r="E479" s="23">
        <v>45222</v>
      </c>
      <c r="F479" s="23" t="s">
        <v>362</v>
      </c>
      <c r="G479" s="25" t="s">
        <v>63</v>
      </c>
      <c r="H479" s="24">
        <v>0</v>
      </c>
      <c r="I479" s="25" t="s">
        <v>76</v>
      </c>
      <c r="J479" s="25" t="s">
        <v>7</v>
      </c>
      <c r="K479" s="25" t="s">
        <v>9</v>
      </c>
      <c r="L479" s="25">
        <f t="shared" si="41"/>
        <v>673</v>
      </c>
      <c r="M479" s="4" t="str">
        <f>IF(Table3[[#This Row],[Afrondingsdatum YB]]="N/A","-",Table3[[#This Row],[Afrondingsdatum YB]]-Table3[[#This Row],[StartDatum]])</f>
        <v>-</v>
      </c>
      <c r="N479" s="4"/>
      <c r="O479">
        <f t="shared" si="42"/>
        <v>83</v>
      </c>
      <c r="P479">
        <f t="shared" si="42"/>
        <v>121</v>
      </c>
      <c r="Q479">
        <f t="shared" si="42"/>
        <v>98</v>
      </c>
      <c r="R479">
        <f t="shared" si="42"/>
        <v>114</v>
      </c>
      <c r="S479">
        <f t="shared" si="42"/>
        <v>101</v>
      </c>
      <c r="T479">
        <f t="shared" si="42"/>
        <v>110</v>
      </c>
      <c r="U479">
        <f t="shared" si="42"/>
        <v>46</v>
      </c>
      <c r="V479">
        <f t="shared" si="42"/>
        <v>104</v>
      </c>
      <c r="W479" s="5">
        <f t="shared" si="39"/>
        <v>827</v>
      </c>
      <c r="X479" s="9" t="str">
        <f t="shared" si="40"/>
        <v>y827</v>
      </c>
    </row>
    <row r="480" spans="1:24" x14ac:dyDescent="0.2">
      <c r="A480" s="9" t="s">
        <v>425</v>
      </c>
      <c r="B480" s="9">
        <v>1</v>
      </c>
      <c r="C480" s="17">
        <v>8</v>
      </c>
      <c r="D480" s="20"/>
      <c r="E480" s="18">
        <v>45222</v>
      </c>
      <c r="F480" s="18" t="s">
        <v>363</v>
      </c>
      <c r="G480" s="20" t="s">
        <v>64</v>
      </c>
      <c r="H480" s="19">
        <v>0.7</v>
      </c>
      <c r="I480" s="20" t="s">
        <v>205</v>
      </c>
      <c r="J480" s="20" t="s">
        <v>7</v>
      </c>
      <c r="K480" s="20" t="s">
        <v>9</v>
      </c>
      <c r="L480" s="20">
        <f t="shared" si="41"/>
        <v>709</v>
      </c>
      <c r="M480" s="4" t="str">
        <f>IF(Table3[[#This Row],[Afrondingsdatum YB]]="N/A","-",Table3[[#This Row],[Afrondingsdatum YB]]-Table3[[#This Row],[StartDatum]])</f>
        <v>-</v>
      </c>
      <c r="N480" s="4"/>
      <c r="O480">
        <f t="shared" si="42"/>
        <v>116</v>
      </c>
      <c r="P480">
        <f t="shared" si="42"/>
        <v>101</v>
      </c>
      <c r="Q480">
        <f t="shared" si="42"/>
        <v>117</v>
      </c>
      <c r="R480">
        <f t="shared" si="42"/>
        <v>110</v>
      </c>
      <c r="S480">
        <f t="shared" si="42"/>
        <v>46</v>
      </c>
      <c r="T480">
        <f t="shared" si="42"/>
        <v>114</v>
      </c>
      <c r="U480">
        <f t="shared" si="42"/>
        <v>105</v>
      </c>
      <c r="V480">
        <f t="shared" si="42"/>
        <v>110</v>
      </c>
      <c r="W480" s="5">
        <f t="shared" si="39"/>
        <v>920</v>
      </c>
      <c r="X480" s="9" t="str">
        <f t="shared" si="40"/>
        <v>e920</v>
      </c>
    </row>
    <row r="481" spans="1:24" x14ac:dyDescent="0.2">
      <c r="A481" s="9" t="s">
        <v>425</v>
      </c>
      <c r="B481" s="9">
        <v>1</v>
      </c>
      <c r="C481" s="17">
        <v>8</v>
      </c>
      <c r="D481" s="20"/>
      <c r="E481" s="23">
        <v>45222</v>
      </c>
      <c r="F481" s="23" t="s">
        <v>362</v>
      </c>
      <c r="G481" s="25" t="s">
        <v>132</v>
      </c>
      <c r="H481" s="24">
        <v>0.28000000000000003</v>
      </c>
      <c r="I481" s="25" t="s">
        <v>180</v>
      </c>
      <c r="J481" s="25" t="s">
        <v>7</v>
      </c>
      <c r="K481" s="25" t="s">
        <v>9</v>
      </c>
      <c r="L481" s="25">
        <f t="shared" si="41"/>
        <v>697</v>
      </c>
      <c r="M481" s="4" t="str">
        <f>IF(Table3[[#This Row],[Afrondingsdatum YB]]="N/A","-",Table3[[#This Row],[Afrondingsdatum YB]]-Table3[[#This Row],[StartDatum]])</f>
        <v>-</v>
      </c>
      <c r="N481" s="4"/>
      <c r="O481">
        <f t="shared" si="42"/>
        <v>116</v>
      </c>
      <c r="P481">
        <f t="shared" si="42"/>
        <v>104</v>
      </c>
      <c r="Q481">
        <f t="shared" si="42"/>
        <v>105</v>
      </c>
      <c r="R481">
        <f t="shared" si="42"/>
        <v>114</v>
      </c>
      <c r="S481">
        <f t="shared" si="42"/>
        <v>115</v>
      </c>
      <c r="T481">
        <f t="shared" si="42"/>
        <v>97</v>
      </c>
      <c r="U481">
        <f t="shared" si="42"/>
        <v>46</v>
      </c>
      <c r="V481">
        <f t="shared" si="42"/>
        <v>108</v>
      </c>
      <c r="W481" s="5">
        <f t="shared" si="39"/>
        <v>878</v>
      </c>
      <c r="X481" s="9" t="str">
        <f t="shared" si="40"/>
        <v>h878</v>
      </c>
    </row>
    <row r="482" spans="1:24" x14ac:dyDescent="0.2">
      <c r="A482" s="9" t="s">
        <v>425</v>
      </c>
      <c r="B482" s="9">
        <v>1</v>
      </c>
      <c r="C482" s="17">
        <v>8</v>
      </c>
      <c r="D482" s="20"/>
      <c r="E482" s="18">
        <v>45222</v>
      </c>
      <c r="F482" s="18" t="s">
        <v>364</v>
      </c>
      <c r="G482" s="20" t="s">
        <v>133</v>
      </c>
      <c r="H482" s="19">
        <v>0.02</v>
      </c>
      <c r="I482" s="20" t="s">
        <v>76</v>
      </c>
      <c r="J482" s="20" t="s">
        <v>7</v>
      </c>
      <c r="K482" s="20" t="s">
        <v>9</v>
      </c>
      <c r="L482" s="20">
        <f t="shared" si="41"/>
        <v>713</v>
      </c>
      <c r="M482" s="4" t="str">
        <f>IF(Table3[[#This Row],[Afrondingsdatum YB]]="N/A","-",Table3[[#This Row],[Afrondingsdatum YB]]-Table3[[#This Row],[StartDatum]])</f>
        <v>-</v>
      </c>
      <c r="N482" s="4"/>
      <c r="O482">
        <f t="shared" si="42"/>
        <v>116</v>
      </c>
      <c r="P482">
        <f t="shared" si="42"/>
        <v>121</v>
      </c>
      <c r="Q482">
        <f t="shared" si="42"/>
        <v>108</v>
      </c>
      <c r="R482">
        <f t="shared" si="42"/>
        <v>101</v>
      </c>
      <c r="S482">
        <f t="shared" si="42"/>
        <v>114</v>
      </c>
      <c r="T482">
        <f t="shared" si="42"/>
        <v>46</v>
      </c>
      <c r="U482">
        <f t="shared" si="42"/>
        <v>107</v>
      </c>
      <c r="V482">
        <f t="shared" ref="P482:V519" si="43">CODE(MID($G482,V$1,1))</f>
        <v>111</v>
      </c>
      <c r="W482" s="5">
        <f t="shared" si="39"/>
        <v>904</v>
      </c>
      <c r="X482" s="9" t="str">
        <f t="shared" si="40"/>
        <v>y904</v>
      </c>
    </row>
    <row r="483" spans="1:24" x14ac:dyDescent="0.2">
      <c r="A483" s="9" t="s">
        <v>425</v>
      </c>
      <c r="B483" s="9">
        <v>1</v>
      </c>
      <c r="C483" s="17">
        <v>8</v>
      </c>
      <c r="D483" s="20"/>
      <c r="E483" s="23">
        <v>45222</v>
      </c>
      <c r="F483" s="23" t="s">
        <v>364</v>
      </c>
      <c r="G483" s="25" t="s">
        <v>65</v>
      </c>
      <c r="H483" s="24">
        <v>0.73</v>
      </c>
      <c r="I483" s="25" t="s">
        <v>217</v>
      </c>
      <c r="J483" s="25" t="s">
        <v>7</v>
      </c>
      <c r="K483" s="25" t="s">
        <v>9</v>
      </c>
      <c r="L483" s="25">
        <f t="shared" si="41"/>
        <v>711</v>
      </c>
      <c r="M483" s="4" t="str">
        <f>IF(Table3[[#This Row],[Afrondingsdatum YB]]="N/A","-",Table3[[#This Row],[Afrondingsdatum YB]]-Table3[[#This Row],[StartDatum]])</f>
        <v>-</v>
      </c>
      <c r="N483" s="4"/>
      <c r="O483">
        <f t="shared" ref="O483:O546" si="44">CODE(MID($G483,O$1,1))</f>
        <v>119</v>
      </c>
      <c r="P483">
        <f t="shared" si="43"/>
        <v>101</v>
      </c>
      <c r="Q483">
        <f t="shared" si="43"/>
        <v>115</v>
      </c>
      <c r="R483">
        <f t="shared" si="43"/>
        <v>108</v>
      </c>
      <c r="S483">
        <f t="shared" si="43"/>
        <v>101</v>
      </c>
      <c r="T483">
        <f t="shared" si="43"/>
        <v>121</v>
      </c>
      <c r="U483">
        <f t="shared" si="43"/>
        <v>46</v>
      </c>
      <c r="V483">
        <f t="shared" si="43"/>
        <v>99</v>
      </c>
      <c r="W483" s="5">
        <f t="shared" si="39"/>
        <v>909</v>
      </c>
      <c r="X483" s="9" t="str">
        <f t="shared" si="40"/>
        <v>e909</v>
      </c>
    </row>
    <row r="484" spans="1:24" x14ac:dyDescent="0.2">
      <c r="A484" s="9" t="s">
        <v>425</v>
      </c>
      <c r="B484" s="9">
        <v>1</v>
      </c>
      <c r="C484" s="17">
        <v>8</v>
      </c>
      <c r="D484" s="20"/>
      <c r="E484" s="18">
        <v>45222</v>
      </c>
      <c r="F484" s="18" t="s">
        <v>364</v>
      </c>
      <c r="G484" s="20" t="s">
        <v>66</v>
      </c>
      <c r="H484" s="19">
        <v>0.17</v>
      </c>
      <c r="I484" s="20" t="s">
        <v>106</v>
      </c>
      <c r="J484" s="20" t="s">
        <v>7</v>
      </c>
      <c r="K484" s="20" t="s">
        <v>9</v>
      </c>
      <c r="L484" s="20">
        <f t="shared" si="41"/>
        <v>697</v>
      </c>
      <c r="M484" s="4" t="str">
        <f>IF(Table3[[#This Row],[Afrondingsdatum YB]]="N/A","-",Table3[[#This Row],[Afrondingsdatum YB]]-Table3[[#This Row],[StartDatum]])</f>
        <v>-</v>
      </c>
      <c r="N484" s="4"/>
      <c r="O484">
        <f t="shared" si="44"/>
        <v>121</v>
      </c>
      <c r="P484">
        <f t="shared" si="43"/>
        <v>97</v>
      </c>
      <c r="Q484">
        <f t="shared" si="43"/>
        <v>115</v>
      </c>
      <c r="R484">
        <f t="shared" si="43"/>
        <v>105</v>
      </c>
      <c r="S484">
        <f t="shared" si="43"/>
        <v>110</v>
      </c>
      <c r="T484">
        <f t="shared" si="43"/>
        <v>46</v>
      </c>
      <c r="U484">
        <f t="shared" si="43"/>
        <v>103</v>
      </c>
      <c r="V484">
        <f t="shared" si="43"/>
        <v>111</v>
      </c>
      <c r="W484" s="5">
        <f t="shared" si="39"/>
        <v>911</v>
      </c>
      <c r="X484" s="9" t="str">
        <f t="shared" si="40"/>
        <v>a911</v>
      </c>
    </row>
    <row r="485" spans="1:24" x14ac:dyDescent="0.2">
      <c r="A485" s="9" t="s">
        <v>425</v>
      </c>
      <c r="B485" s="9">
        <v>1</v>
      </c>
      <c r="C485" s="17">
        <v>8</v>
      </c>
      <c r="D485" s="20"/>
      <c r="E485" s="23">
        <v>45222</v>
      </c>
      <c r="F485" s="23" t="s">
        <v>364</v>
      </c>
      <c r="G485" s="25" t="s">
        <v>67</v>
      </c>
      <c r="H485" s="24">
        <v>1</v>
      </c>
      <c r="I485" s="25" t="s">
        <v>153</v>
      </c>
      <c r="J485" s="32">
        <v>45217</v>
      </c>
      <c r="K485" s="24">
        <v>0.73</v>
      </c>
      <c r="L485" s="25">
        <f t="shared" si="41"/>
        <v>764</v>
      </c>
      <c r="M485" s="4">
        <f>IF(Table3[[#This Row],[Afrondingsdatum YB]]="N/A","-",Table3[[#This Row],[Afrondingsdatum YB]]-Table3[[#This Row],[StartDatum]])</f>
        <v>45217</v>
      </c>
      <c r="N485" s="4"/>
      <c r="O485">
        <f t="shared" si="44"/>
        <v>121</v>
      </c>
      <c r="P485">
        <f t="shared" si="43"/>
        <v>97</v>
      </c>
      <c r="Q485">
        <f t="shared" si="43"/>
        <v>115</v>
      </c>
      <c r="R485">
        <f t="shared" si="43"/>
        <v>115</v>
      </c>
      <c r="S485">
        <f t="shared" si="43"/>
        <v>105</v>
      </c>
      <c r="T485">
        <f t="shared" si="43"/>
        <v>110</v>
      </c>
      <c r="U485">
        <f t="shared" si="43"/>
        <v>101</v>
      </c>
      <c r="V485">
        <f t="shared" si="43"/>
        <v>46</v>
      </c>
      <c r="W485" s="5">
        <f t="shared" si="39"/>
        <v>905</v>
      </c>
      <c r="X485" s="9" t="str">
        <f t="shared" si="40"/>
        <v>a905</v>
      </c>
    </row>
    <row r="486" spans="1:24" x14ac:dyDescent="0.2">
      <c r="A486" s="9" t="s">
        <v>425</v>
      </c>
      <c r="B486" s="9">
        <v>1</v>
      </c>
      <c r="C486" s="17">
        <v>8</v>
      </c>
      <c r="D486" s="20"/>
      <c r="E486" s="18">
        <v>45222</v>
      </c>
      <c r="F486" s="18" t="s">
        <v>363</v>
      </c>
      <c r="G486" s="20" t="s">
        <v>68</v>
      </c>
      <c r="H486" s="19">
        <v>0.34</v>
      </c>
      <c r="I486" s="20" t="s">
        <v>218</v>
      </c>
      <c r="J486" s="20" t="s">
        <v>7</v>
      </c>
      <c r="K486" s="20" t="s">
        <v>9</v>
      </c>
      <c r="L486" s="20">
        <f t="shared" si="41"/>
        <v>721</v>
      </c>
      <c r="M486" s="4" t="str">
        <f>IF(Table3[[#This Row],[Afrondingsdatum YB]]="N/A","-",Table3[[#This Row],[Afrondingsdatum YB]]-Table3[[#This Row],[StartDatum]])</f>
        <v>-</v>
      </c>
      <c r="N486" s="4"/>
      <c r="O486">
        <f t="shared" si="44"/>
        <v>121</v>
      </c>
      <c r="P486">
        <f t="shared" si="43"/>
        <v>111</v>
      </c>
      <c r="Q486">
        <f t="shared" si="43"/>
        <v>117</v>
      </c>
      <c r="R486">
        <f t="shared" si="43"/>
        <v>114</v>
      </c>
      <c r="S486">
        <f t="shared" si="43"/>
        <v>105</v>
      </c>
      <c r="T486">
        <f t="shared" si="43"/>
        <v>46</v>
      </c>
      <c r="U486">
        <f t="shared" si="43"/>
        <v>107</v>
      </c>
      <c r="V486">
        <f t="shared" si="43"/>
        <v>101</v>
      </c>
      <c r="W486" s="5">
        <f t="shared" si="39"/>
        <v>915</v>
      </c>
      <c r="X486" s="9" t="str">
        <f t="shared" si="40"/>
        <v>o915</v>
      </c>
    </row>
    <row r="487" spans="1:24" x14ac:dyDescent="0.2">
      <c r="A487" s="9" t="s">
        <v>425</v>
      </c>
      <c r="B487" s="9">
        <v>1</v>
      </c>
      <c r="C487" s="22">
        <v>9</v>
      </c>
      <c r="D487" s="25"/>
      <c r="E487" s="23">
        <v>45229</v>
      </c>
      <c r="F487" s="23" t="s">
        <v>363</v>
      </c>
      <c r="G487" s="25" t="s">
        <v>10</v>
      </c>
      <c r="H487" s="24">
        <v>1</v>
      </c>
      <c r="I487" s="25" t="s">
        <v>110</v>
      </c>
      <c r="J487" s="32">
        <v>45197</v>
      </c>
      <c r="K487" s="24">
        <v>0.98</v>
      </c>
      <c r="L487" s="25">
        <f t="shared" si="41"/>
        <v>662</v>
      </c>
      <c r="M487" s="4">
        <f>IF(Table3[[#This Row],[Afrondingsdatum YB]]="N/A","-",Table3[[#This Row],[Afrondingsdatum YB]]-Table3[[#This Row],[StartDatum]])</f>
        <v>45197</v>
      </c>
      <c r="N487" s="4"/>
      <c r="O487">
        <f t="shared" si="44"/>
        <v>97</v>
      </c>
      <c r="P487">
        <f t="shared" si="43"/>
        <v>100</v>
      </c>
      <c r="Q487">
        <f t="shared" si="43"/>
        <v>97</v>
      </c>
      <c r="R487">
        <f t="shared" si="43"/>
        <v>109</v>
      </c>
      <c r="S487">
        <f t="shared" si="43"/>
        <v>46</v>
      </c>
      <c r="T487">
        <f t="shared" si="43"/>
        <v>97</v>
      </c>
      <c r="U487">
        <f t="shared" si="43"/>
        <v>116</v>
      </c>
      <c r="V487">
        <f t="shared" si="43"/>
        <v>116</v>
      </c>
      <c r="W487" s="5">
        <f t="shared" si="39"/>
        <v>840</v>
      </c>
      <c r="X487" s="9" t="str">
        <f t="shared" si="40"/>
        <v>d840</v>
      </c>
    </row>
    <row r="488" spans="1:24" x14ac:dyDescent="0.2">
      <c r="A488" s="9" t="s">
        <v>425</v>
      </c>
      <c r="B488" s="9">
        <v>1</v>
      </c>
      <c r="C488" s="22">
        <v>9</v>
      </c>
      <c r="D488" s="25"/>
      <c r="E488" s="18">
        <v>45229</v>
      </c>
      <c r="F488" s="18" t="s">
        <v>362</v>
      </c>
      <c r="G488" s="20" t="s">
        <v>11</v>
      </c>
      <c r="H488" s="19">
        <v>0.03</v>
      </c>
      <c r="I488" s="20" t="s">
        <v>111</v>
      </c>
      <c r="J488" s="20" t="s">
        <v>7</v>
      </c>
      <c r="K488" s="20" t="s">
        <v>9</v>
      </c>
      <c r="L488" s="20">
        <f t="shared" si="41"/>
        <v>641</v>
      </c>
      <c r="M488" s="4" t="str">
        <f>IF(Table3[[#This Row],[Afrondingsdatum YB]]="N/A","-",Table3[[#This Row],[Afrondingsdatum YB]]-Table3[[#This Row],[StartDatum]])</f>
        <v>-</v>
      </c>
      <c r="N488" s="4"/>
      <c r="O488">
        <f t="shared" si="44"/>
        <v>65</v>
      </c>
      <c r="P488">
        <f t="shared" si="43"/>
        <v>100</v>
      </c>
      <c r="Q488">
        <f t="shared" si="43"/>
        <v>105</v>
      </c>
      <c r="R488">
        <f t="shared" si="43"/>
        <v>108</v>
      </c>
      <c r="S488">
        <f t="shared" si="43"/>
        <v>46</v>
      </c>
      <c r="T488">
        <f t="shared" si="43"/>
        <v>106</v>
      </c>
      <c r="U488">
        <f t="shared" si="43"/>
        <v>111</v>
      </c>
      <c r="V488">
        <f t="shared" si="43"/>
        <v>117</v>
      </c>
      <c r="W488" s="5">
        <f t="shared" si="39"/>
        <v>837</v>
      </c>
      <c r="X488" s="9" t="str">
        <f t="shared" si="40"/>
        <v>d837</v>
      </c>
    </row>
    <row r="489" spans="1:24" x14ac:dyDescent="0.2">
      <c r="A489" s="9" t="s">
        <v>425</v>
      </c>
      <c r="B489" s="9">
        <v>1</v>
      </c>
      <c r="C489" s="22">
        <v>9</v>
      </c>
      <c r="D489" s="25"/>
      <c r="E489" s="23">
        <v>45229</v>
      </c>
      <c r="F489" s="23" t="s">
        <v>364</v>
      </c>
      <c r="G489" s="25" t="s">
        <v>12</v>
      </c>
      <c r="H489" s="24">
        <v>1</v>
      </c>
      <c r="I489" s="25" t="s">
        <v>140</v>
      </c>
      <c r="J489" s="32">
        <v>45219</v>
      </c>
      <c r="K489" s="24">
        <v>0.73</v>
      </c>
      <c r="L489" s="25">
        <f t="shared" si="41"/>
        <v>677</v>
      </c>
      <c r="M489" s="4">
        <f>IF(Table3[[#This Row],[Afrondingsdatum YB]]="N/A","-",Table3[[#This Row],[Afrondingsdatum YB]]-Table3[[#This Row],[StartDatum]])</f>
        <v>45219</v>
      </c>
      <c r="N489" s="4"/>
      <c r="O489">
        <f t="shared" si="44"/>
        <v>97</v>
      </c>
      <c r="P489">
        <f t="shared" si="43"/>
        <v>103</v>
      </c>
      <c r="Q489">
        <f t="shared" si="43"/>
        <v>104</v>
      </c>
      <c r="R489">
        <f t="shared" si="43"/>
        <v>105</v>
      </c>
      <c r="S489">
        <f t="shared" si="43"/>
        <v>108</v>
      </c>
      <c r="T489">
        <f t="shared" si="43"/>
        <v>46</v>
      </c>
      <c r="U489">
        <f t="shared" si="43"/>
        <v>114</v>
      </c>
      <c r="V489">
        <f t="shared" si="43"/>
        <v>101</v>
      </c>
      <c r="W489" s="5">
        <f t="shared" ref="W489:W552" si="45">ROUND((O489*O$1+P489/P$1+Q489*Q$1+R489/R$1)+SUM(S489:V489),0)</f>
        <v>856</v>
      </c>
      <c r="X489" s="9" t="str">
        <f t="shared" ref="X489:X552" si="46">MID(G489,2,1)&amp;TEXT(W489,"###")</f>
        <v>g856</v>
      </c>
    </row>
    <row r="490" spans="1:24" x14ac:dyDescent="0.2">
      <c r="A490" s="9" t="s">
        <v>425</v>
      </c>
      <c r="B490" s="9">
        <v>1</v>
      </c>
      <c r="C490" s="22">
        <v>9</v>
      </c>
      <c r="D490" s="25"/>
      <c r="E490" s="18">
        <v>45229</v>
      </c>
      <c r="F490" s="18" t="s">
        <v>362</v>
      </c>
      <c r="G490" s="20" t="s">
        <v>113</v>
      </c>
      <c r="H490" s="19">
        <v>0.28000000000000003</v>
      </c>
      <c r="I490" s="20" t="s">
        <v>219</v>
      </c>
      <c r="J490" s="20" t="s">
        <v>7</v>
      </c>
      <c r="K490" s="20" t="s">
        <v>9</v>
      </c>
      <c r="L490" s="20">
        <f t="shared" si="41"/>
        <v>670</v>
      </c>
      <c r="M490" s="4" t="str">
        <f>IF(Table3[[#This Row],[Afrondingsdatum YB]]="N/A","-",Table3[[#This Row],[Afrondingsdatum YB]]-Table3[[#This Row],[StartDatum]])</f>
        <v>-</v>
      </c>
      <c r="N490" s="4"/>
      <c r="O490">
        <f t="shared" si="44"/>
        <v>97</v>
      </c>
      <c r="P490">
        <f t="shared" si="43"/>
        <v>109</v>
      </c>
      <c r="Q490">
        <f t="shared" si="43"/>
        <v>105</v>
      </c>
      <c r="R490">
        <f t="shared" si="43"/>
        <v>110</v>
      </c>
      <c r="S490">
        <f t="shared" si="43"/>
        <v>46</v>
      </c>
      <c r="T490">
        <f t="shared" si="43"/>
        <v>99</v>
      </c>
      <c r="U490">
        <f t="shared" si="43"/>
        <v>104</v>
      </c>
      <c r="V490">
        <f t="shared" si="43"/>
        <v>101</v>
      </c>
      <c r="W490" s="5">
        <f t="shared" si="45"/>
        <v>844</v>
      </c>
      <c r="X490" s="9" t="str">
        <f t="shared" si="46"/>
        <v>m844</v>
      </c>
    </row>
    <row r="491" spans="1:24" x14ac:dyDescent="0.2">
      <c r="A491" s="9" t="s">
        <v>425</v>
      </c>
      <c r="B491" s="9">
        <v>1</v>
      </c>
      <c r="C491" s="22">
        <v>9</v>
      </c>
      <c r="D491" s="25"/>
      <c r="E491" s="23">
        <v>45229</v>
      </c>
      <c r="F491" s="23" t="s">
        <v>364</v>
      </c>
      <c r="G491" s="25" t="s">
        <v>13</v>
      </c>
      <c r="H491" s="24">
        <v>0.99</v>
      </c>
      <c r="I491" s="25" t="s">
        <v>97</v>
      </c>
      <c r="J491" s="25" t="s">
        <v>7</v>
      </c>
      <c r="K491" s="25" t="s">
        <v>9</v>
      </c>
      <c r="L491" s="25">
        <f t="shared" si="41"/>
        <v>669</v>
      </c>
      <c r="M491" s="4" t="str">
        <f>IF(Table3[[#This Row],[Afrondingsdatum YB]]="N/A","-",Table3[[#This Row],[Afrondingsdatum YB]]-Table3[[#This Row],[StartDatum]])</f>
        <v>-</v>
      </c>
      <c r="N491" s="4"/>
      <c r="O491">
        <f t="shared" si="44"/>
        <v>97</v>
      </c>
      <c r="P491">
        <f t="shared" si="43"/>
        <v>109</v>
      </c>
      <c r="Q491">
        <f t="shared" si="43"/>
        <v>105</v>
      </c>
      <c r="R491">
        <f t="shared" si="43"/>
        <v>110</v>
      </c>
      <c r="S491">
        <f t="shared" si="43"/>
        <v>101</v>
      </c>
      <c r="T491">
        <f t="shared" si="43"/>
        <v>46</v>
      </c>
      <c r="U491">
        <f t="shared" si="43"/>
        <v>101</v>
      </c>
      <c r="V491">
        <f t="shared" si="43"/>
        <v>108</v>
      </c>
      <c r="W491" s="5">
        <f t="shared" si="45"/>
        <v>850</v>
      </c>
      <c r="X491" s="9" t="str">
        <f t="shared" si="46"/>
        <v>m850</v>
      </c>
    </row>
    <row r="492" spans="1:24" x14ac:dyDescent="0.2">
      <c r="A492" s="9" t="s">
        <v>425</v>
      </c>
      <c r="B492" s="9">
        <v>1</v>
      </c>
      <c r="C492" s="22">
        <v>9</v>
      </c>
      <c r="D492" s="25"/>
      <c r="E492" s="18">
        <v>45229</v>
      </c>
      <c r="F492" s="18" t="s">
        <v>363</v>
      </c>
      <c r="G492" s="20" t="s">
        <v>14</v>
      </c>
      <c r="H492" s="19">
        <v>0.68</v>
      </c>
      <c r="I492" s="20" t="s">
        <v>166</v>
      </c>
      <c r="J492" s="20" t="s">
        <v>7</v>
      </c>
      <c r="K492" s="20" t="s">
        <v>9</v>
      </c>
      <c r="L492" s="20">
        <f t="shared" si="41"/>
        <v>676</v>
      </c>
      <c r="M492" s="4" t="str">
        <f>IF(Table3[[#This Row],[Afrondingsdatum YB]]="N/A","-",Table3[[#This Row],[Afrondingsdatum YB]]-Table3[[#This Row],[StartDatum]])</f>
        <v>-</v>
      </c>
      <c r="N492" s="4"/>
      <c r="O492">
        <f t="shared" si="44"/>
        <v>97</v>
      </c>
      <c r="P492">
        <f t="shared" si="43"/>
        <v>110</v>
      </c>
      <c r="Q492">
        <f t="shared" si="43"/>
        <v>103</v>
      </c>
      <c r="R492">
        <f t="shared" si="43"/>
        <v>101</v>
      </c>
      <c r="S492">
        <f t="shared" si="43"/>
        <v>108</v>
      </c>
      <c r="T492">
        <f t="shared" si="43"/>
        <v>111</v>
      </c>
      <c r="U492">
        <f t="shared" si="43"/>
        <v>46</v>
      </c>
      <c r="V492">
        <f t="shared" si="43"/>
        <v>115</v>
      </c>
      <c r="W492" s="5">
        <f t="shared" si="45"/>
        <v>866</v>
      </c>
      <c r="X492" s="9" t="str">
        <f t="shared" si="46"/>
        <v>n866</v>
      </c>
    </row>
    <row r="493" spans="1:24" x14ac:dyDescent="0.2">
      <c r="A493" s="9" t="s">
        <v>425</v>
      </c>
      <c r="B493" s="9">
        <v>1</v>
      </c>
      <c r="C493" s="22">
        <v>9</v>
      </c>
      <c r="D493" s="25"/>
      <c r="E493" s="23">
        <v>45229</v>
      </c>
      <c r="F493" s="23" t="s">
        <v>362</v>
      </c>
      <c r="G493" s="25" t="s">
        <v>15</v>
      </c>
      <c r="H493" s="24">
        <v>0.33</v>
      </c>
      <c r="I493" s="25" t="s">
        <v>201</v>
      </c>
      <c r="J493" s="25" t="s">
        <v>7</v>
      </c>
      <c r="K493" s="25" t="s">
        <v>9</v>
      </c>
      <c r="L493" s="25">
        <f t="shared" si="41"/>
        <v>755</v>
      </c>
      <c r="M493" s="4" t="str">
        <f>IF(Table3[[#This Row],[Afrondingsdatum YB]]="N/A","-",Table3[[#This Row],[Afrondingsdatum YB]]-Table3[[#This Row],[StartDatum]])</f>
        <v>-</v>
      </c>
      <c r="N493" s="4"/>
      <c r="O493">
        <f t="shared" si="44"/>
        <v>97</v>
      </c>
      <c r="P493">
        <f t="shared" si="43"/>
        <v>115</v>
      </c>
      <c r="Q493">
        <f t="shared" si="43"/>
        <v>104</v>
      </c>
      <c r="R493">
        <f t="shared" si="43"/>
        <v>111</v>
      </c>
      <c r="S493">
        <f t="shared" si="43"/>
        <v>101</v>
      </c>
      <c r="T493">
        <f t="shared" si="43"/>
        <v>116</v>
      </c>
      <c r="U493">
        <f t="shared" si="43"/>
        <v>111</v>
      </c>
      <c r="V493">
        <f t="shared" si="43"/>
        <v>115</v>
      </c>
      <c r="W493" s="5">
        <f t="shared" si="45"/>
        <v>937</v>
      </c>
      <c r="X493" s="9" t="str">
        <f t="shared" si="46"/>
        <v>s937</v>
      </c>
    </row>
    <row r="494" spans="1:24" x14ac:dyDescent="0.2">
      <c r="A494" s="9" t="s">
        <v>425</v>
      </c>
      <c r="B494" s="9">
        <v>1</v>
      </c>
      <c r="C494" s="22">
        <v>9</v>
      </c>
      <c r="D494" s="25"/>
      <c r="E494" s="18">
        <v>45229</v>
      </c>
      <c r="F494" s="18" t="s">
        <v>364</v>
      </c>
      <c r="G494" s="20" t="s">
        <v>16</v>
      </c>
      <c r="H494" s="19">
        <v>0.84</v>
      </c>
      <c r="I494" s="20" t="s">
        <v>220</v>
      </c>
      <c r="J494" s="20" t="s">
        <v>7</v>
      </c>
      <c r="K494" s="20" t="s">
        <v>9</v>
      </c>
      <c r="L494" s="20">
        <f t="shared" si="41"/>
        <v>672</v>
      </c>
      <c r="M494" s="4" t="str">
        <f>IF(Table3[[#This Row],[Afrondingsdatum YB]]="N/A","-",Table3[[#This Row],[Afrondingsdatum YB]]-Table3[[#This Row],[StartDatum]])</f>
        <v>-</v>
      </c>
      <c r="N494" s="4"/>
      <c r="O494">
        <f t="shared" si="44"/>
        <v>97</v>
      </c>
      <c r="P494">
        <f t="shared" si="43"/>
        <v>121</v>
      </c>
      <c r="Q494">
        <f t="shared" si="43"/>
        <v>100</v>
      </c>
      <c r="R494">
        <f t="shared" si="43"/>
        <v>101</v>
      </c>
      <c r="S494">
        <f t="shared" si="43"/>
        <v>110</v>
      </c>
      <c r="T494">
        <f t="shared" si="43"/>
        <v>46</v>
      </c>
      <c r="U494">
        <f t="shared" si="43"/>
        <v>97</v>
      </c>
      <c r="V494">
        <f t="shared" si="43"/>
        <v>110</v>
      </c>
      <c r="W494" s="5">
        <f t="shared" si="45"/>
        <v>846</v>
      </c>
      <c r="X494" s="9" t="str">
        <f t="shared" si="46"/>
        <v>y846</v>
      </c>
    </row>
    <row r="495" spans="1:24" x14ac:dyDescent="0.2">
      <c r="A495" s="9" t="s">
        <v>425</v>
      </c>
      <c r="B495" s="9">
        <v>1</v>
      </c>
      <c r="C495" s="22">
        <v>9</v>
      </c>
      <c r="D495" s="25"/>
      <c r="E495" s="23">
        <v>45229</v>
      </c>
      <c r="F495" s="23" t="s">
        <v>362</v>
      </c>
      <c r="G495" s="25" t="s">
        <v>17</v>
      </c>
      <c r="H495" s="24">
        <v>7.0000000000000007E-2</v>
      </c>
      <c r="I495" s="25" t="s">
        <v>168</v>
      </c>
      <c r="J495" s="25" t="s">
        <v>7</v>
      </c>
      <c r="K495" s="25" t="s">
        <v>9</v>
      </c>
      <c r="L495" s="25">
        <f t="shared" si="41"/>
        <v>707</v>
      </c>
      <c r="M495" s="4" t="str">
        <f>IF(Table3[[#This Row],[Afrondingsdatum YB]]="N/A","-",Table3[[#This Row],[Afrondingsdatum YB]]-Table3[[#This Row],[StartDatum]])</f>
        <v>-</v>
      </c>
      <c r="N495" s="4"/>
      <c r="O495">
        <f t="shared" si="44"/>
        <v>98</v>
      </c>
      <c r="P495">
        <f t="shared" si="43"/>
        <v>101</v>
      </c>
      <c r="Q495">
        <f t="shared" si="43"/>
        <v>116</v>
      </c>
      <c r="R495">
        <f t="shared" si="43"/>
        <v>117</v>
      </c>
      <c r="S495">
        <f t="shared" si="43"/>
        <v>108</v>
      </c>
      <c r="T495">
        <f t="shared" si="43"/>
        <v>46</v>
      </c>
      <c r="U495">
        <f t="shared" si="43"/>
        <v>121</v>
      </c>
      <c r="V495">
        <f t="shared" si="43"/>
        <v>117</v>
      </c>
      <c r="W495" s="5">
        <f t="shared" si="45"/>
        <v>918</v>
      </c>
      <c r="X495" s="9" t="str">
        <f t="shared" si="46"/>
        <v>e918</v>
      </c>
    </row>
    <row r="496" spans="1:24" x14ac:dyDescent="0.2">
      <c r="A496" s="9" t="s">
        <v>425</v>
      </c>
      <c r="B496" s="9">
        <v>1</v>
      </c>
      <c r="C496" s="22">
        <v>9</v>
      </c>
      <c r="D496" s="25"/>
      <c r="E496" s="18">
        <v>45229</v>
      </c>
      <c r="F496" s="18" t="s">
        <v>364</v>
      </c>
      <c r="G496" s="20" t="s">
        <v>115</v>
      </c>
      <c r="H496" s="19">
        <v>0.93</v>
      </c>
      <c r="I496" s="20" t="s">
        <v>196</v>
      </c>
      <c r="J496" s="20" t="s">
        <v>7</v>
      </c>
      <c r="K496" s="20" t="s">
        <v>9</v>
      </c>
      <c r="L496" s="20">
        <f t="shared" si="41"/>
        <v>748</v>
      </c>
      <c r="M496" s="4" t="str">
        <f>IF(Table3[[#This Row],[Afrondingsdatum YB]]="N/A","-",Table3[[#This Row],[Afrondingsdatum YB]]-Table3[[#This Row],[StartDatum]])</f>
        <v>-</v>
      </c>
      <c r="N496" s="4"/>
      <c r="O496">
        <f t="shared" si="44"/>
        <v>98</v>
      </c>
      <c r="P496">
        <f t="shared" si="43"/>
        <v>106</v>
      </c>
      <c r="Q496">
        <f t="shared" si="43"/>
        <v>111</v>
      </c>
      <c r="R496">
        <f t="shared" si="43"/>
        <v>114</v>
      </c>
      <c r="S496">
        <f t="shared" si="43"/>
        <v>110</v>
      </c>
      <c r="T496">
        <f t="shared" si="43"/>
        <v>108</v>
      </c>
      <c r="U496">
        <f t="shared" si="43"/>
        <v>101</v>
      </c>
      <c r="V496">
        <f t="shared" si="43"/>
        <v>118</v>
      </c>
      <c r="W496" s="5">
        <f t="shared" si="45"/>
        <v>950</v>
      </c>
      <c r="X496" s="9" t="str">
        <f t="shared" si="46"/>
        <v>j950</v>
      </c>
    </row>
    <row r="497" spans="1:24" x14ac:dyDescent="0.2">
      <c r="A497" s="9" t="s">
        <v>425</v>
      </c>
      <c r="B497" s="9">
        <v>1</v>
      </c>
      <c r="C497" s="22">
        <v>9</v>
      </c>
      <c r="D497" s="25"/>
      <c r="E497" s="23">
        <v>45229</v>
      </c>
      <c r="F497" s="23" t="s">
        <v>363</v>
      </c>
      <c r="G497" s="25" t="s">
        <v>18</v>
      </c>
      <c r="H497" s="24">
        <v>1</v>
      </c>
      <c r="I497" s="25" t="s">
        <v>202</v>
      </c>
      <c r="J497" s="32">
        <v>45227</v>
      </c>
      <c r="K497" s="24">
        <v>0.73</v>
      </c>
      <c r="L497" s="25">
        <f t="shared" si="41"/>
        <v>687</v>
      </c>
      <c r="M497" s="4">
        <f>IF(Table3[[#This Row],[Afrondingsdatum YB]]="N/A","-",Table3[[#This Row],[Afrondingsdatum YB]]-Table3[[#This Row],[StartDatum]])</f>
        <v>45227</v>
      </c>
      <c r="N497" s="4"/>
      <c r="O497">
        <f t="shared" si="44"/>
        <v>98</v>
      </c>
      <c r="P497">
        <f t="shared" si="43"/>
        <v>114</v>
      </c>
      <c r="Q497">
        <f t="shared" si="43"/>
        <v>101</v>
      </c>
      <c r="R497">
        <f t="shared" si="43"/>
        <v>116</v>
      </c>
      <c r="S497">
        <f t="shared" si="43"/>
        <v>104</v>
      </c>
      <c r="T497">
        <f t="shared" si="43"/>
        <v>46</v>
      </c>
      <c r="U497">
        <f t="shared" si="43"/>
        <v>108</v>
      </c>
      <c r="V497">
        <f t="shared" si="43"/>
        <v>97</v>
      </c>
      <c r="W497" s="5">
        <f t="shared" si="45"/>
        <v>842</v>
      </c>
      <c r="X497" s="9" t="str">
        <f t="shared" si="46"/>
        <v>r842</v>
      </c>
    </row>
    <row r="498" spans="1:24" x14ac:dyDescent="0.2">
      <c r="A498" s="9" t="s">
        <v>425</v>
      </c>
      <c r="B498" s="9">
        <v>1</v>
      </c>
      <c r="C498" s="22">
        <v>9</v>
      </c>
      <c r="D498" s="25"/>
      <c r="E498" s="18">
        <v>45229</v>
      </c>
      <c r="F498" s="18" t="s">
        <v>364</v>
      </c>
      <c r="G498" s="20" t="s">
        <v>19</v>
      </c>
      <c r="H498" s="19">
        <v>1</v>
      </c>
      <c r="I498" s="20" t="s">
        <v>170</v>
      </c>
      <c r="J498" s="34">
        <v>45212</v>
      </c>
      <c r="K498" s="19">
        <v>0.83</v>
      </c>
      <c r="L498" s="20">
        <f t="shared" si="41"/>
        <v>733</v>
      </c>
      <c r="M498" s="4">
        <f>IF(Table3[[#This Row],[Afrondingsdatum YB]]="N/A","-",Table3[[#This Row],[Afrondingsdatum YB]]-Table3[[#This Row],[StartDatum]])</f>
        <v>45212</v>
      </c>
      <c r="N498" s="4"/>
      <c r="O498">
        <f t="shared" si="44"/>
        <v>99</v>
      </c>
      <c r="P498">
        <f t="shared" si="43"/>
        <v>104</v>
      </c>
      <c r="Q498">
        <f t="shared" si="43"/>
        <v>97</v>
      </c>
      <c r="R498">
        <f t="shared" si="43"/>
        <v>114</v>
      </c>
      <c r="S498">
        <f t="shared" si="43"/>
        <v>108</v>
      </c>
      <c r="T498">
        <f t="shared" si="43"/>
        <v>101</v>
      </c>
      <c r="U498">
        <f t="shared" si="43"/>
        <v>110</v>
      </c>
      <c r="V498">
        <f t="shared" si="43"/>
        <v>101</v>
      </c>
      <c r="W498" s="5">
        <f t="shared" si="45"/>
        <v>891</v>
      </c>
      <c r="X498" s="9" t="str">
        <f t="shared" si="46"/>
        <v>h891</v>
      </c>
    </row>
    <row r="499" spans="1:24" x14ac:dyDescent="0.2">
      <c r="A499" s="9" t="s">
        <v>425</v>
      </c>
      <c r="B499" s="9">
        <v>1</v>
      </c>
      <c r="C499" s="22">
        <v>9</v>
      </c>
      <c r="D499" s="25"/>
      <c r="E499" s="23">
        <v>45229</v>
      </c>
      <c r="F499" s="23" t="s">
        <v>364</v>
      </c>
      <c r="G499" s="25" t="s">
        <v>20</v>
      </c>
      <c r="H499" s="24">
        <v>1</v>
      </c>
      <c r="I499" s="25" t="s">
        <v>171</v>
      </c>
      <c r="J499" s="32">
        <v>45209</v>
      </c>
      <c r="K499" s="24">
        <v>0.83</v>
      </c>
      <c r="L499" s="25">
        <f t="shared" si="41"/>
        <v>668</v>
      </c>
      <c r="M499" s="4">
        <f>IF(Table3[[#This Row],[Afrondingsdatum YB]]="N/A","-",Table3[[#This Row],[Afrondingsdatum YB]]-Table3[[#This Row],[StartDatum]])</f>
        <v>45209</v>
      </c>
      <c r="N499" s="4"/>
      <c r="O499">
        <f t="shared" si="44"/>
        <v>99</v>
      </c>
      <c r="P499">
        <f t="shared" si="43"/>
        <v>104</v>
      </c>
      <c r="Q499">
        <f t="shared" si="43"/>
        <v>101</v>
      </c>
      <c r="R499">
        <f t="shared" si="43"/>
        <v>110</v>
      </c>
      <c r="S499">
        <f t="shared" si="43"/>
        <v>111</v>
      </c>
      <c r="T499">
        <f t="shared" si="43"/>
        <v>97</v>
      </c>
      <c r="U499">
        <f t="shared" si="43"/>
        <v>46</v>
      </c>
      <c r="V499">
        <f t="shared" si="43"/>
        <v>118</v>
      </c>
      <c r="W499" s="5">
        <f t="shared" si="45"/>
        <v>854</v>
      </c>
      <c r="X499" s="9" t="str">
        <f t="shared" si="46"/>
        <v>h854</v>
      </c>
    </row>
    <row r="500" spans="1:24" x14ac:dyDescent="0.2">
      <c r="A500" s="9" t="s">
        <v>425</v>
      </c>
      <c r="B500" s="9">
        <v>1</v>
      </c>
      <c r="C500" s="22">
        <v>9</v>
      </c>
      <c r="D500" s="25"/>
      <c r="E500" s="18">
        <v>45229</v>
      </c>
      <c r="F500" s="18" t="s">
        <v>364</v>
      </c>
      <c r="G500" s="20" t="s">
        <v>21</v>
      </c>
      <c r="H500" s="19">
        <v>0.6</v>
      </c>
      <c r="I500" s="20" t="s">
        <v>159</v>
      </c>
      <c r="J500" s="20" t="s">
        <v>7</v>
      </c>
      <c r="K500" s="20" t="s">
        <v>9</v>
      </c>
      <c r="L500" s="20">
        <f t="shared" si="41"/>
        <v>681</v>
      </c>
      <c r="M500" s="4" t="str">
        <f>IF(Table3[[#This Row],[Afrondingsdatum YB]]="N/A","-",Table3[[#This Row],[Afrondingsdatum YB]]-Table3[[#This Row],[StartDatum]])</f>
        <v>-</v>
      </c>
      <c r="N500" s="4"/>
      <c r="O500">
        <f t="shared" si="44"/>
        <v>100</v>
      </c>
      <c r="P500">
        <f t="shared" si="43"/>
        <v>97</v>
      </c>
      <c r="Q500">
        <f t="shared" si="43"/>
        <v>115</v>
      </c>
      <c r="R500">
        <f t="shared" si="43"/>
        <v>116</v>
      </c>
      <c r="S500">
        <f t="shared" si="43"/>
        <v>97</v>
      </c>
      <c r="T500">
        <f t="shared" si="43"/>
        <v>110</v>
      </c>
      <c r="U500">
        <f t="shared" si="43"/>
        <v>46</v>
      </c>
      <c r="V500">
        <f t="shared" si="43"/>
        <v>109</v>
      </c>
      <c r="W500" s="5">
        <f t="shared" si="45"/>
        <v>885</v>
      </c>
      <c r="X500" s="9" t="str">
        <f t="shared" si="46"/>
        <v>a885</v>
      </c>
    </row>
    <row r="501" spans="1:24" x14ac:dyDescent="0.2">
      <c r="A501" s="9" t="s">
        <v>425</v>
      </c>
      <c r="B501" s="9">
        <v>1</v>
      </c>
      <c r="C501" s="22">
        <v>9</v>
      </c>
      <c r="D501" s="25"/>
      <c r="E501" s="23">
        <v>45229</v>
      </c>
      <c r="F501" s="23" t="s">
        <v>363</v>
      </c>
      <c r="G501" s="25" t="s">
        <v>22</v>
      </c>
      <c r="H501" s="24">
        <v>1</v>
      </c>
      <c r="I501" s="25" t="s">
        <v>221</v>
      </c>
      <c r="J501" s="32">
        <v>45225</v>
      </c>
      <c r="K501" s="24">
        <v>0.7</v>
      </c>
      <c r="L501" s="25">
        <f t="shared" si="41"/>
        <v>676</v>
      </c>
      <c r="M501" s="4">
        <f>IF(Table3[[#This Row],[Afrondingsdatum YB]]="N/A","-",Table3[[#This Row],[Afrondingsdatum YB]]-Table3[[#This Row],[StartDatum]])</f>
        <v>45225</v>
      </c>
      <c r="N501" s="4"/>
      <c r="O501">
        <f t="shared" si="44"/>
        <v>100</v>
      </c>
      <c r="P501">
        <f t="shared" si="43"/>
        <v>101</v>
      </c>
      <c r="Q501">
        <f t="shared" si="43"/>
        <v>109</v>
      </c>
      <c r="R501">
        <f t="shared" si="43"/>
        <v>105</v>
      </c>
      <c r="S501">
        <f t="shared" si="43"/>
        <v>46</v>
      </c>
      <c r="T501">
        <f t="shared" si="43"/>
        <v>118</v>
      </c>
      <c r="U501">
        <f t="shared" si="43"/>
        <v>97</v>
      </c>
      <c r="V501">
        <f t="shared" si="43"/>
        <v>110</v>
      </c>
      <c r="W501" s="5">
        <f t="shared" si="45"/>
        <v>875</v>
      </c>
      <c r="X501" s="9" t="str">
        <f t="shared" si="46"/>
        <v>e875</v>
      </c>
    </row>
    <row r="502" spans="1:24" x14ac:dyDescent="0.2">
      <c r="A502" s="9" t="s">
        <v>425</v>
      </c>
      <c r="B502" s="9">
        <v>1</v>
      </c>
      <c r="C502" s="22">
        <v>9</v>
      </c>
      <c r="D502" s="25"/>
      <c r="E502" s="18">
        <v>45229</v>
      </c>
      <c r="F502" s="18" t="s">
        <v>363</v>
      </c>
      <c r="G502" s="20" t="s">
        <v>23</v>
      </c>
      <c r="H502" s="19">
        <v>0.46</v>
      </c>
      <c r="I502" s="20" t="s">
        <v>123</v>
      </c>
      <c r="J502" s="20" t="s">
        <v>7</v>
      </c>
      <c r="K502" s="20" t="s">
        <v>9</v>
      </c>
      <c r="L502" s="20">
        <f t="shared" si="41"/>
        <v>681</v>
      </c>
      <c r="M502" s="4" t="str">
        <f>IF(Table3[[#This Row],[Afrondingsdatum YB]]="N/A","-",Table3[[#This Row],[Afrondingsdatum YB]]-Table3[[#This Row],[StartDatum]])</f>
        <v>-</v>
      </c>
      <c r="N502" s="4"/>
      <c r="O502">
        <f t="shared" si="44"/>
        <v>101</v>
      </c>
      <c r="P502">
        <f t="shared" si="43"/>
        <v>108</v>
      </c>
      <c r="Q502">
        <f t="shared" si="43"/>
        <v>105</v>
      </c>
      <c r="R502">
        <f t="shared" si="43"/>
        <v>122</v>
      </c>
      <c r="S502">
        <f t="shared" si="43"/>
        <v>101</v>
      </c>
      <c r="T502">
        <f t="shared" si="43"/>
        <v>46</v>
      </c>
      <c r="U502">
        <f t="shared" si="43"/>
        <v>98</v>
      </c>
      <c r="V502">
        <f t="shared" si="43"/>
        <v>97</v>
      </c>
      <c r="W502" s="5">
        <f t="shared" si="45"/>
        <v>843</v>
      </c>
      <c r="X502" s="9" t="str">
        <f t="shared" si="46"/>
        <v>l843</v>
      </c>
    </row>
    <row r="503" spans="1:24" x14ac:dyDescent="0.2">
      <c r="A503" s="9" t="s">
        <v>425</v>
      </c>
      <c r="B503" s="9">
        <v>1</v>
      </c>
      <c r="C503" s="22">
        <v>9</v>
      </c>
      <c r="D503" s="25"/>
      <c r="E503" s="23">
        <v>45229</v>
      </c>
      <c r="F503" s="23" t="s">
        <v>363</v>
      </c>
      <c r="G503" s="25" t="s">
        <v>24</v>
      </c>
      <c r="H503" s="24">
        <v>1</v>
      </c>
      <c r="I503" s="25" t="s">
        <v>222</v>
      </c>
      <c r="J503" s="32">
        <v>45225</v>
      </c>
      <c r="K503" s="24">
        <v>0.73</v>
      </c>
      <c r="L503" s="25">
        <f t="shared" si="41"/>
        <v>705</v>
      </c>
      <c r="M503" s="4">
        <f>IF(Table3[[#This Row],[Afrondingsdatum YB]]="N/A","-",Table3[[#This Row],[Afrondingsdatum YB]]-Table3[[#This Row],[StartDatum]])</f>
        <v>45225</v>
      </c>
      <c r="N503" s="4"/>
      <c r="O503">
        <f t="shared" si="44"/>
        <v>102</v>
      </c>
      <c r="P503">
        <f t="shared" si="43"/>
        <v>105</v>
      </c>
      <c r="Q503">
        <f t="shared" si="43"/>
        <v>115</v>
      </c>
      <c r="R503">
        <f t="shared" si="43"/>
        <v>116</v>
      </c>
      <c r="S503">
        <f t="shared" si="43"/>
        <v>111</v>
      </c>
      <c r="T503">
        <f t="shared" si="43"/>
        <v>110</v>
      </c>
      <c r="U503">
        <f t="shared" si="43"/>
        <v>46</v>
      </c>
      <c r="V503">
        <f t="shared" si="43"/>
        <v>99</v>
      </c>
      <c r="W503" s="5">
        <f t="shared" si="45"/>
        <v>895</v>
      </c>
      <c r="X503" s="9" t="str">
        <f t="shared" si="46"/>
        <v>i895</v>
      </c>
    </row>
    <row r="504" spans="1:24" x14ac:dyDescent="0.2">
      <c r="A504" s="9" t="s">
        <v>425</v>
      </c>
      <c r="B504" s="9">
        <v>1</v>
      </c>
      <c r="C504" s="22">
        <v>9</v>
      </c>
      <c r="D504" s="25"/>
      <c r="E504" s="18">
        <v>45229</v>
      </c>
      <c r="F504" s="18" t="s">
        <v>362</v>
      </c>
      <c r="G504" s="20" t="s">
        <v>118</v>
      </c>
      <c r="H504" s="19">
        <v>0</v>
      </c>
      <c r="I504" s="20" t="s">
        <v>8</v>
      </c>
      <c r="J504" s="20" t="s">
        <v>7</v>
      </c>
      <c r="K504" s="20" t="s">
        <v>9</v>
      </c>
      <c r="L504" s="20">
        <f t="shared" si="41"/>
        <v>756</v>
      </c>
      <c r="M504" s="4" t="str">
        <f>IF(Table3[[#This Row],[Afrondingsdatum YB]]="N/A","-",Table3[[#This Row],[Afrondingsdatum YB]]-Table3[[#This Row],[StartDatum]])</f>
        <v>-</v>
      </c>
      <c r="N504" s="4"/>
      <c r="O504">
        <f t="shared" si="44"/>
        <v>103</v>
      </c>
      <c r="P504">
        <f t="shared" si="43"/>
        <v>101</v>
      </c>
      <c r="Q504">
        <f t="shared" si="43"/>
        <v>110</v>
      </c>
      <c r="R504">
        <f t="shared" si="43"/>
        <v>116</v>
      </c>
      <c r="S504">
        <f t="shared" si="43"/>
        <v>97</v>
      </c>
      <c r="T504">
        <f t="shared" si="43"/>
        <v>108</v>
      </c>
      <c r="U504">
        <f t="shared" si="43"/>
        <v>121</v>
      </c>
      <c r="V504">
        <f t="shared" si="43"/>
        <v>46</v>
      </c>
      <c r="W504" s="5">
        <f t="shared" si="45"/>
        <v>885</v>
      </c>
      <c r="X504" s="9" t="str">
        <f t="shared" si="46"/>
        <v>e885</v>
      </c>
    </row>
    <row r="505" spans="1:24" x14ac:dyDescent="0.2">
      <c r="A505" s="9" t="s">
        <v>425</v>
      </c>
      <c r="B505" s="9">
        <v>1</v>
      </c>
      <c r="C505" s="22">
        <v>9</v>
      </c>
      <c r="D505" s="25"/>
      <c r="E505" s="23">
        <v>45229</v>
      </c>
      <c r="F505" s="23" t="s">
        <v>362</v>
      </c>
      <c r="G505" s="25" t="s">
        <v>25</v>
      </c>
      <c r="H505" s="24">
        <v>0.84</v>
      </c>
      <c r="I505" s="25" t="s">
        <v>223</v>
      </c>
      <c r="J505" s="25" t="s">
        <v>7</v>
      </c>
      <c r="K505" s="25" t="s">
        <v>9</v>
      </c>
      <c r="L505" s="25">
        <f t="shared" si="41"/>
        <v>690</v>
      </c>
      <c r="M505" s="4" t="str">
        <f>IF(Table3[[#This Row],[Afrondingsdatum YB]]="N/A","-",Table3[[#This Row],[Afrondingsdatum YB]]-Table3[[#This Row],[StartDatum]])</f>
        <v>-</v>
      </c>
      <c r="N505" s="4"/>
      <c r="O505">
        <f t="shared" si="44"/>
        <v>103</v>
      </c>
      <c r="P505">
        <f t="shared" si="43"/>
        <v>108</v>
      </c>
      <c r="Q505">
        <f t="shared" si="43"/>
        <v>105</v>
      </c>
      <c r="R505">
        <f t="shared" si="43"/>
        <v>103</v>
      </c>
      <c r="S505">
        <f t="shared" si="43"/>
        <v>111</v>
      </c>
      <c r="T505">
        <f t="shared" si="43"/>
        <v>114</v>
      </c>
      <c r="U505">
        <f t="shared" si="43"/>
        <v>46</v>
      </c>
      <c r="V505">
        <f t="shared" si="43"/>
        <v>106</v>
      </c>
      <c r="W505" s="5">
        <f t="shared" si="45"/>
        <v>875</v>
      </c>
      <c r="X505" s="9" t="str">
        <f t="shared" si="46"/>
        <v>l875</v>
      </c>
    </row>
    <row r="506" spans="1:24" x14ac:dyDescent="0.2">
      <c r="A506" s="9" t="s">
        <v>425</v>
      </c>
      <c r="B506" s="9">
        <v>1</v>
      </c>
      <c r="C506" s="22">
        <v>9</v>
      </c>
      <c r="D506" s="25"/>
      <c r="E506" s="18">
        <v>45229</v>
      </c>
      <c r="F506" s="18" t="s">
        <v>363</v>
      </c>
      <c r="G506" s="20" t="s">
        <v>26</v>
      </c>
      <c r="H506" s="19">
        <v>0.93</v>
      </c>
      <c r="I506" s="20" t="s">
        <v>224</v>
      </c>
      <c r="J506" s="20" t="s">
        <v>7</v>
      </c>
      <c r="K506" s="20" t="s">
        <v>9</v>
      </c>
      <c r="L506" s="20">
        <f t="shared" si="41"/>
        <v>690</v>
      </c>
      <c r="M506" s="4" t="str">
        <f>IF(Table3[[#This Row],[Afrondingsdatum YB]]="N/A","-",Table3[[#This Row],[Afrondingsdatum YB]]-Table3[[#This Row],[StartDatum]])</f>
        <v>-</v>
      </c>
      <c r="N506" s="4"/>
      <c r="O506">
        <f t="shared" si="44"/>
        <v>104</v>
      </c>
      <c r="P506">
        <f t="shared" si="43"/>
        <v>97</v>
      </c>
      <c r="Q506">
        <f t="shared" si="43"/>
        <v>122</v>
      </c>
      <c r="R506">
        <f t="shared" si="43"/>
        <v>101</v>
      </c>
      <c r="S506">
        <f t="shared" si="43"/>
        <v>109</v>
      </c>
      <c r="T506">
        <f t="shared" si="43"/>
        <v>46</v>
      </c>
      <c r="U506">
        <f t="shared" si="43"/>
        <v>111</v>
      </c>
      <c r="V506">
        <f t="shared" si="43"/>
        <v>110</v>
      </c>
      <c r="W506" s="5">
        <f t="shared" si="45"/>
        <v>920</v>
      </c>
      <c r="X506" s="9" t="str">
        <f t="shared" si="46"/>
        <v>a920</v>
      </c>
    </row>
    <row r="507" spans="1:24" x14ac:dyDescent="0.2">
      <c r="A507" s="9" t="s">
        <v>425</v>
      </c>
      <c r="B507" s="9">
        <v>1</v>
      </c>
      <c r="C507" s="22">
        <v>9</v>
      </c>
      <c r="D507" s="25"/>
      <c r="E507" s="23">
        <v>45229</v>
      </c>
      <c r="F507" s="23" t="s">
        <v>364</v>
      </c>
      <c r="G507" s="25" t="s">
        <v>27</v>
      </c>
      <c r="H507" s="24">
        <v>0.53</v>
      </c>
      <c r="I507" s="25" t="s">
        <v>177</v>
      </c>
      <c r="J507" s="25" t="s">
        <v>7</v>
      </c>
      <c r="K507" s="25" t="s">
        <v>9</v>
      </c>
      <c r="L507" s="25">
        <f t="shared" si="41"/>
        <v>734</v>
      </c>
      <c r="M507" s="4" t="str">
        <f>IF(Table3[[#This Row],[Afrondingsdatum YB]]="N/A","-",Table3[[#This Row],[Afrondingsdatum YB]]-Table3[[#This Row],[StartDatum]])</f>
        <v>-</v>
      </c>
      <c r="N507" s="4"/>
      <c r="O507">
        <f t="shared" si="44"/>
        <v>104</v>
      </c>
      <c r="P507">
        <f t="shared" si="43"/>
        <v>101</v>
      </c>
      <c r="Q507">
        <f t="shared" si="43"/>
        <v>114</v>
      </c>
      <c r="R507">
        <f t="shared" si="43"/>
        <v>109</v>
      </c>
      <c r="S507">
        <f t="shared" si="43"/>
        <v>101</v>
      </c>
      <c r="T507">
        <f t="shared" si="43"/>
        <v>108</v>
      </c>
      <c r="U507">
        <f t="shared" si="43"/>
        <v>97</v>
      </c>
      <c r="V507">
        <f t="shared" si="43"/>
        <v>46</v>
      </c>
      <c r="W507" s="5">
        <f t="shared" si="45"/>
        <v>876</v>
      </c>
      <c r="X507" s="9" t="str">
        <f t="shared" si="46"/>
        <v>e876</v>
      </c>
    </row>
    <row r="508" spans="1:24" x14ac:dyDescent="0.2">
      <c r="A508" s="9" t="s">
        <v>425</v>
      </c>
      <c r="B508" s="9">
        <v>1</v>
      </c>
      <c r="C508" s="22">
        <v>9</v>
      </c>
      <c r="D508" s="25"/>
      <c r="E508" s="18">
        <v>45229</v>
      </c>
      <c r="F508" s="18" t="s">
        <v>364</v>
      </c>
      <c r="G508" s="20" t="s">
        <v>28</v>
      </c>
      <c r="H508" s="19">
        <v>0.26</v>
      </c>
      <c r="I508" s="20" t="s">
        <v>178</v>
      </c>
      <c r="J508" s="20" t="s">
        <v>7</v>
      </c>
      <c r="K508" s="20" t="s">
        <v>9</v>
      </c>
      <c r="L508" s="20">
        <f t="shared" si="41"/>
        <v>665</v>
      </c>
      <c r="M508" s="4" t="str">
        <f>IF(Table3[[#This Row],[Afrondingsdatum YB]]="N/A","-",Table3[[#This Row],[Afrondingsdatum YB]]-Table3[[#This Row],[StartDatum]])</f>
        <v>-</v>
      </c>
      <c r="N508" s="4"/>
      <c r="O508">
        <f t="shared" si="44"/>
        <v>104</v>
      </c>
      <c r="P508">
        <f t="shared" si="43"/>
        <v>117</v>
      </c>
      <c r="Q508">
        <f t="shared" si="43"/>
        <v>105</v>
      </c>
      <c r="R508">
        <f t="shared" si="43"/>
        <v>98</v>
      </c>
      <c r="S508">
        <f t="shared" si="43"/>
        <v>46</v>
      </c>
      <c r="T508">
        <f t="shared" si="43"/>
        <v>98</v>
      </c>
      <c r="U508">
        <f t="shared" si="43"/>
        <v>97</v>
      </c>
      <c r="V508">
        <f t="shared" si="43"/>
        <v>107</v>
      </c>
      <c r="W508" s="5">
        <f t="shared" si="45"/>
        <v>850</v>
      </c>
      <c r="X508" s="9" t="str">
        <f t="shared" si="46"/>
        <v>u850</v>
      </c>
    </row>
    <row r="509" spans="1:24" x14ac:dyDescent="0.2">
      <c r="A509" s="9" t="s">
        <v>425</v>
      </c>
      <c r="B509" s="9">
        <v>1</v>
      </c>
      <c r="C509" s="22">
        <v>9</v>
      </c>
      <c r="D509" s="25"/>
      <c r="E509" s="23">
        <v>45229</v>
      </c>
      <c r="F509" s="23" t="s">
        <v>363</v>
      </c>
      <c r="G509" s="25" t="s">
        <v>29</v>
      </c>
      <c r="H509" s="24">
        <v>1</v>
      </c>
      <c r="I509" s="25" t="s">
        <v>179</v>
      </c>
      <c r="J509" s="32">
        <v>45210</v>
      </c>
      <c r="K509" s="24">
        <v>0.85</v>
      </c>
      <c r="L509" s="25">
        <f t="shared" si="41"/>
        <v>682</v>
      </c>
      <c r="M509" s="4">
        <f>IF(Table3[[#This Row],[Afrondingsdatum YB]]="N/A","-",Table3[[#This Row],[Afrondingsdatum YB]]-Table3[[#This Row],[StartDatum]])</f>
        <v>45210</v>
      </c>
      <c r="N509" s="4"/>
      <c r="O509">
        <f t="shared" si="44"/>
        <v>105</v>
      </c>
      <c r="P509">
        <f t="shared" si="43"/>
        <v>107</v>
      </c>
      <c r="Q509">
        <f t="shared" si="43"/>
        <v>104</v>
      </c>
      <c r="R509">
        <f t="shared" si="43"/>
        <v>108</v>
      </c>
      <c r="S509">
        <f t="shared" si="43"/>
        <v>97</v>
      </c>
      <c r="T509">
        <f t="shared" si="43"/>
        <v>115</v>
      </c>
      <c r="U509">
        <f t="shared" si="43"/>
        <v>46</v>
      </c>
      <c r="V509">
        <f t="shared" si="43"/>
        <v>98</v>
      </c>
      <c r="W509" s="5">
        <f t="shared" si="45"/>
        <v>854</v>
      </c>
      <c r="X509" s="9" t="str">
        <f t="shared" si="46"/>
        <v>k854</v>
      </c>
    </row>
    <row r="510" spans="1:24" x14ac:dyDescent="0.2">
      <c r="A510" s="9" t="s">
        <v>425</v>
      </c>
      <c r="B510" s="9">
        <v>1</v>
      </c>
      <c r="C510" s="22">
        <v>9</v>
      </c>
      <c r="D510" s="25"/>
      <c r="E510" s="18">
        <v>45229</v>
      </c>
      <c r="F510" s="18" t="s">
        <v>363</v>
      </c>
      <c r="G510" s="20" t="s">
        <v>30</v>
      </c>
      <c r="H510" s="19">
        <v>1</v>
      </c>
      <c r="I510" s="20" t="s">
        <v>225</v>
      </c>
      <c r="J510" s="34">
        <v>45226</v>
      </c>
      <c r="K510" s="19">
        <v>0.75</v>
      </c>
      <c r="L510" s="20">
        <f t="shared" si="41"/>
        <v>701</v>
      </c>
      <c r="M510" s="4">
        <f>IF(Table3[[#This Row],[Afrondingsdatum YB]]="N/A","-",Table3[[#This Row],[Afrondingsdatum YB]]-Table3[[#This Row],[StartDatum]])</f>
        <v>45226</v>
      </c>
      <c r="N510" s="4"/>
      <c r="O510">
        <f t="shared" si="44"/>
        <v>105</v>
      </c>
      <c r="P510">
        <f t="shared" si="43"/>
        <v>108</v>
      </c>
      <c r="Q510">
        <f t="shared" si="43"/>
        <v>107</v>
      </c>
      <c r="R510">
        <f t="shared" si="43"/>
        <v>97</v>
      </c>
      <c r="S510">
        <f t="shared" si="43"/>
        <v>121</v>
      </c>
      <c r="T510">
        <f t="shared" si="43"/>
        <v>46</v>
      </c>
      <c r="U510">
        <f t="shared" si="43"/>
        <v>117</v>
      </c>
      <c r="V510">
        <f t="shared" si="43"/>
        <v>121</v>
      </c>
      <c r="W510" s="5">
        <f t="shared" si="45"/>
        <v>909</v>
      </c>
      <c r="X510" s="9" t="str">
        <f t="shared" si="46"/>
        <v>l909</v>
      </c>
    </row>
    <row r="511" spans="1:24" x14ac:dyDescent="0.2">
      <c r="A511" s="9" t="s">
        <v>425</v>
      </c>
      <c r="B511" s="9">
        <v>1</v>
      </c>
      <c r="C511" s="22">
        <v>9</v>
      </c>
      <c r="D511" s="25"/>
      <c r="E511" s="23">
        <v>45229</v>
      </c>
      <c r="F511" s="23" t="s">
        <v>364</v>
      </c>
      <c r="G511" s="25" t="s">
        <v>31</v>
      </c>
      <c r="H511" s="24">
        <v>0.98</v>
      </c>
      <c r="I511" s="25" t="s">
        <v>172</v>
      </c>
      <c r="J511" s="25" t="s">
        <v>7</v>
      </c>
      <c r="K511" s="25" t="s">
        <v>9</v>
      </c>
      <c r="L511" s="25">
        <f t="shared" si="41"/>
        <v>661</v>
      </c>
      <c r="M511" s="4" t="str">
        <f>IF(Table3[[#This Row],[Afrondingsdatum YB]]="N/A","-",Table3[[#This Row],[Afrondingsdatum YB]]-Table3[[#This Row],[StartDatum]])</f>
        <v>-</v>
      </c>
      <c r="N511" s="4"/>
      <c r="O511">
        <f t="shared" si="44"/>
        <v>106</v>
      </c>
      <c r="P511">
        <f t="shared" si="43"/>
        <v>97</v>
      </c>
      <c r="Q511">
        <f t="shared" si="43"/>
        <v>109</v>
      </c>
      <c r="R511">
        <f t="shared" si="43"/>
        <v>97</v>
      </c>
      <c r="S511">
        <f t="shared" si="43"/>
        <v>108</v>
      </c>
      <c r="T511">
        <f t="shared" si="43"/>
        <v>46</v>
      </c>
      <c r="U511">
        <f t="shared" si="43"/>
        <v>98</v>
      </c>
      <c r="V511">
        <f t="shared" si="43"/>
        <v>97</v>
      </c>
      <c r="W511" s="5">
        <f t="shared" si="45"/>
        <v>855</v>
      </c>
      <c r="X511" s="9" t="str">
        <f t="shared" si="46"/>
        <v>a855</v>
      </c>
    </row>
    <row r="512" spans="1:24" x14ac:dyDescent="0.2">
      <c r="A512" s="9" t="s">
        <v>425</v>
      </c>
      <c r="B512" s="9">
        <v>1</v>
      </c>
      <c r="C512" s="22">
        <v>9</v>
      </c>
      <c r="D512" s="25"/>
      <c r="E512" s="18">
        <v>45229</v>
      </c>
      <c r="F512" s="18" t="s">
        <v>364</v>
      </c>
      <c r="G512" s="20" t="s">
        <v>75</v>
      </c>
      <c r="H512" s="19">
        <v>0</v>
      </c>
      <c r="I512" s="20" t="s">
        <v>8</v>
      </c>
      <c r="J512" s="20" t="s">
        <v>7</v>
      </c>
      <c r="K512" s="20" t="s">
        <v>9</v>
      </c>
      <c r="L512" s="20">
        <f t="shared" si="41"/>
        <v>698</v>
      </c>
      <c r="M512" s="4" t="str">
        <f>IF(Table3[[#This Row],[Afrondingsdatum YB]]="N/A","-",Table3[[#This Row],[Afrondingsdatum YB]]-Table3[[#This Row],[StartDatum]])</f>
        <v>-</v>
      </c>
      <c r="N512" s="4"/>
      <c r="O512">
        <f t="shared" si="44"/>
        <v>74</v>
      </c>
      <c r="P512">
        <f t="shared" si="43"/>
        <v>97</v>
      </c>
      <c r="Q512">
        <f t="shared" si="43"/>
        <v>109</v>
      </c>
      <c r="R512">
        <f t="shared" si="43"/>
        <v>105</v>
      </c>
      <c r="S512">
        <f t="shared" si="43"/>
        <v>108</v>
      </c>
      <c r="T512">
        <f t="shared" si="43"/>
        <v>108</v>
      </c>
      <c r="U512">
        <f t="shared" si="43"/>
        <v>97</v>
      </c>
      <c r="V512">
        <f t="shared" si="43"/>
        <v>98</v>
      </c>
      <c r="W512" s="5">
        <f t="shared" si="45"/>
        <v>887</v>
      </c>
      <c r="X512" s="9" t="str">
        <f t="shared" si="46"/>
        <v>a887</v>
      </c>
    </row>
    <row r="513" spans="1:24" x14ac:dyDescent="0.2">
      <c r="A513" s="9" t="s">
        <v>425</v>
      </c>
      <c r="B513" s="9">
        <v>1</v>
      </c>
      <c r="C513" s="22">
        <v>9</v>
      </c>
      <c r="D513" s="25"/>
      <c r="E513" s="23">
        <v>45229</v>
      </c>
      <c r="F513" s="23" t="s">
        <v>363</v>
      </c>
      <c r="G513" s="25" t="s">
        <v>32</v>
      </c>
      <c r="H513" s="24">
        <v>1</v>
      </c>
      <c r="I513" s="25" t="s">
        <v>181</v>
      </c>
      <c r="J513" s="32">
        <v>45209</v>
      </c>
      <c r="K513" s="24">
        <v>0.78</v>
      </c>
      <c r="L513" s="25">
        <f t="shared" si="41"/>
        <v>698</v>
      </c>
      <c r="M513" s="4">
        <f>IF(Table3[[#This Row],[Afrondingsdatum YB]]="N/A","-",Table3[[#This Row],[Afrondingsdatum YB]]-Table3[[#This Row],[StartDatum]])</f>
        <v>45209</v>
      </c>
      <c r="N513" s="4"/>
      <c r="O513">
        <f t="shared" si="44"/>
        <v>106</v>
      </c>
      <c r="P513">
        <f t="shared" si="43"/>
        <v>97</v>
      </c>
      <c r="Q513">
        <f t="shared" si="43"/>
        <v>114</v>
      </c>
      <c r="R513">
        <f t="shared" si="43"/>
        <v>114</v>
      </c>
      <c r="S513">
        <f t="shared" si="43"/>
        <v>111</v>
      </c>
      <c r="T513">
        <f t="shared" si="43"/>
        <v>110</v>
      </c>
      <c r="U513">
        <f t="shared" si="43"/>
        <v>46</v>
      </c>
      <c r="V513">
        <f t="shared" si="43"/>
        <v>118</v>
      </c>
      <c r="W513" s="5">
        <f t="shared" si="45"/>
        <v>910</v>
      </c>
      <c r="X513" s="9" t="str">
        <f t="shared" si="46"/>
        <v>a910</v>
      </c>
    </row>
    <row r="514" spans="1:24" x14ac:dyDescent="0.2">
      <c r="A514" s="9" t="s">
        <v>425</v>
      </c>
      <c r="B514" s="9">
        <v>1</v>
      </c>
      <c r="C514" s="22">
        <v>9</v>
      </c>
      <c r="D514" s="25"/>
      <c r="E514" s="18">
        <v>45229</v>
      </c>
      <c r="F514" s="18" t="s">
        <v>362</v>
      </c>
      <c r="G514" s="20" t="s">
        <v>33</v>
      </c>
      <c r="H514" s="19">
        <v>0.23</v>
      </c>
      <c r="I514" s="20" t="s">
        <v>182</v>
      </c>
      <c r="J514" s="20" t="s">
        <v>7</v>
      </c>
      <c r="K514" s="20" t="s">
        <v>9</v>
      </c>
      <c r="L514" s="20">
        <f t="shared" ref="L514:L577" si="47">SUM(O514:U514)</f>
        <v>707</v>
      </c>
      <c r="M514" s="4" t="str">
        <f>IF(Table3[[#This Row],[Afrondingsdatum YB]]="N/A","-",Table3[[#This Row],[Afrondingsdatum YB]]-Table3[[#This Row],[StartDatum]])</f>
        <v>-</v>
      </c>
      <c r="N514" s="4"/>
      <c r="O514">
        <f t="shared" si="44"/>
        <v>106</v>
      </c>
      <c r="P514">
        <f t="shared" si="43"/>
        <v>101</v>
      </c>
      <c r="Q514">
        <f t="shared" si="43"/>
        <v>118</v>
      </c>
      <c r="R514">
        <f t="shared" si="43"/>
        <v>111</v>
      </c>
      <c r="S514">
        <f t="shared" si="43"/>
        <v>110</v>
      </c>
      <c r="T514">
        <f t="shared" si="43"/>
        <v>46</v>
      </c>
      <c r="U514">
        <f t="shared" si="43"/>
        <v>115</v>
      </c>
      <c r="V514">
        <f t="shared" si="43"/>
        <v>109</v>
      </c>
      <c r="W514" s="5">
        <f t="shared" si="45"/>
        <v>918</v>
      </c>
      <c r="X514" s="9" t="str">
        <f t="shared" si="46"/>
        <v>e918</v>
      </c>
    </row>
    <row r="515" spans="1:24" x14ac:dyDescent="0.2">
      <c r="A515" s="9" t="s">
        <v>425</v>
      </c>
      <c r="B515" s="9">
        <v>1</v>
      </c>
      <c r="C515" s="22">
        <v>9</v>
      </c>
      <c r="D515" s="25"/>
      <c r="E515" s="23">
        <v>45229</v>
      </c>
      <c r="F515" s="23" t="s">
        <v>362</v>
      </c>
      <c r="G515" s="25" t="s">
        <v>125</v>
      </c>
      <c r="H515" s="24">
        <v>0</v>
      </c>
      <c r="I515" s="25" t="s">
        <v>8</v>
      </c>
      <c r="J515" s="25" t="s">
        <v>7</v>
      </c>
      <c r="K515" s="25" t="s">
        <v>9</v>
      </c>
      <c r="L515" s="25">
        <f t="shared" si="47"/>
        <v>689</v>
      </c>
      <c r="M515" s="4" t="str">
        <f>IF(Table3[[#This Row],[Afrondingsdatum YB]]="N/A","-",Table3[[#This Row],[Afrondingsdatum YB]]-Table3[[#This Row],[StartDatum]])</f>
        <v>-</v>
      </c>
      <c r="N515" s="4"/>
      <c r="O515">
        <f t="shared" si="44"/>
        <v>106</v>
      </c>
      <c r="P515">
        <f t="shared" si="43"/>
        <v>111</v>
      </c>
      <c r="Q515">
        <f t="shared" si="43"/>
        <v>98</v>
      </c>
      <c r="R515">
        <f t="shared" si="43"/>
        <v>46</v>
      </c>
      <c r="S515">
        <f t="shared" si="43"/>
        <v>107</v>
      </c>
      <c r="T515">
        <f t="shared" si="43"/>
        <v>110</v>
      </c>
      <c r="U515">
        <f t="shared" si="43"/>
        <v>111</v>
      </c>
      <c r="V515">
        <f t="shared" si="43"/>
        <v>111</v>
      </c>
      <c r="W515" s="5">
        <f t="shared" si="45"/>
        <v>906</v>
      </c>
      <c r="X515" s="9" t="str">
        <f t="shared" si="46"/>
        <v>o906</v>
      </c>
    </row>
    <row r="516" spans="1:24" x14ac:dyDescent="0.2">
      <c r="A516" s="9" t="s">
        <v>425</v>
      </c>
      <c r="B516" s="9">
        <v>1</v>
      </c>
      <c r="C516" s="22">
        <v>9</v>
      </c>
      <c r="D516" s="25"/>
      <c r="E516" s="18">
        <v>45229</v>
      </c>
      <c r="F516" s="18" t="s">
        <v>362</v>
      </c>
      <c r="G516" s="20" t="s">
        <v>34</v>
      </c>
      <c r="H516" s="19">
        <v>7.0000000000000007E-2</v>
      </c>
      <c r="I516" s="20" t="s">
        <v>206</v>
      </c>
      <c r="J516" s="20" t="s">
        <v>7</v>
      </c>
      <c r="K516" s="20" t="s">
        <v>9</v>
      </c>
      <c r="L516" s="20">
        <f t="shared" si="47"/>
        <v>676</v>
      </c>
      <c r="M516" s="4" t="str">
        <f>IF(Table3[[#This Row],[Afrondingsdatum YB]]="N/A","-",Table3[[#This Row],[Afrondingsdatum YB]]-Table3[[#This Row],[StartDatum]])</f>
        <v>-</v>
      </c>
      <c r="N516" s="4"/>
      <c r="O516">
        <f t="shared" si="44"/>
        <v>106</v>
      </c>
      <c r="P516">
        <f t="shared" si="43"/>
        <v>111</v>
      </c>
      <c r="Q516">
        <f t="shared" si="43"/>
        <v>99</v>
      </c>
      <c r="R516">
        <f t="shared" si="43"/>
        <v>104</v>
      </c>
      <c r="S516">
        <f t="shared" si="43"/>
        <v>101</v>
      </c>
      <c r="T516">
        <f t="shared" si="43"/>
        <v>109</v>
      </c>
      <c r="U516">
        <f t="shared" si="43"/>
        <v>46</v>
      </c>
      <c r="V516">
        <f t="shared" si="43"/>
        <v>104</v>
      </c>
      <c r="W516" s="5">
        <f t="shared" si="45"/>
        <v>845</v>
      </c>
      <c r="X516" s="9" t="str">
        <f t="shared" si="46"/>
        <v>o845</v>
      </c>
    </row>
    <row r="517" spans="1:24" x14ac:dyDescent="0.2">
      <c r="A517" s="9" t="s">
        <v>425</v>
      </c>
      <c r="B517" s="9">
        <v>1</v>
      </c>
      <c r="C517" s="22">
        <v>9</v>
      </c>
      <c r="D517" s="25"/>
      <c r="E517" s="23">
        <v>45229</v>
      </c>
      <c r="F517" s="23" t="s">
        <v>362</v>
      </c>
      <c r="G517" s="25" t="s">
        <v>35</v>
      </c>
      <c r="H517" s="24">
        <v>0.22</v>
      </c>
      <c r="I517" s="25" t="s">
        <v>110</v>
      </c>
      <c r="J517" s="25" t="s">
        <v>7</v>
      </c>
      <c r="K517" s="25" t="s">
        <v>9</v>
      </c>
      <c r="L517" s="25">
        <f t="shared" si="47"/>
        <v>704</v>
      </c>
      <c r="M517" s="4" t="str">
        <f>IF(Table3[[#This Row],[Afrondingsdatum YB]]="N/A","-",Table3[[#This Row],[Afrondingsdatum YB]]-Table3[[#This Row],[StartDatum]])</f>
        <v>-</v>
      </c>
      <c r="N517" s="4"/>
      <c r="O517">
        <f t="shared" si="44"/>
        <v>106</v>
      </c>
      <c r="P517">
        <f t="shared" si="43"/>
        <v>111</v>
      </c>
      <c r="Q517">
        <f t="shared" si="43"/>
        <v>114</v>
      </c>
      <c r="R517">
        <f t="shared" si="43"/>
        <v>105</v>
      </c>
      <c r="S517">
        <f t="shared" si="43"/>
        <v>115</v>
      </c>
      <c r="T517">
        <f t="shared" si="43"/>
        <v>46</v>
      </c>
      <c r="U517">
        <f t="shared" si="43"/>
        <v>107</v>
      </c>
      <c r="V517">
        <f t="shared" si="43"/>
        <v>111</v>
      </c>
      <c r="W517" s="5">
        <f t="shared" si="45"/>
        <v>909</v>
      </c>
      <c r="X517" s="9" t="str">
        <f t="shared" si="46"/>
        <v>o909</v>
      </c>
    </row>
    <row r="518" spans="1:24" x14ac:dyDescent="0.2">
      <c r="A518" s="9" t="s">
        <v>425</v>
      </c>
      <c r="B518" s="9">
        <v>1</v>
      </c>
      <c r="C518" s="22">
        <v>9</v>
      </c>
      <c r="D518" s="25"/>
      <c r="E518" s="18">
        <v>45229</v>
      </c>
      <c r="F518" s="18" t="s">
        <v>364</v>
      </c>
      <c r="G518" s="20" t="s">
        <v>36</v>
      </c>
      <c r="H518" s="19">
        <v>1</v>
      </c>
      <c r="I518" s="20" t="s">
        <v>179</v>
      </c>
      <c r="J518" s="20" t="s">
        <v>7</v>
      </c>
      <c r="K518" s="20" t="s">
        <v>9</v>
      </c>
      <c r="L518" s="20">
        <f t="shared" si="47"/>
        <v>657</v>
      </c>
      <c r="M518" s="4" t="str">
        <f>IF(Table3[[#This Row],[Afrondingsdatum YB]]="N/A","-",Table3[[#This Row],[Afrondingsdatum YB]]-Table3[[#This Row],[StartDatum]])</f>
        <v>-</v>
      </c>
      <c r="N518" s="4"/>
      <c r="O518">
        <f t="shared" si="44"/>
        <v>74</v>
      </c>
      <c r="P518">
        <f t="shared" si="43"/>
        <v>117</v>
      </c>
      <c r="Q518">
        <f t="shared" si="43"/>
        <v>108</v>
      </c>
      <c r="R518">
        <f t="shared" si="43"/>
        <v>105</v>
      </c>
      <c r="S518">
        <f t="shared" si="43"/>
        <v>97</v>
      </c>
      <c r="T518">
        <f t="shared" si="43"/>
        <v>110</v>
      </c>
      <c r="U518">
        <f t="shared" si="43"/>
        <v>46</v>
      </c>
      <c r="V518">
        <f t="shared" si="43"/>
        <v>68</v>
      </c>
      <c r="W518" s="5">
        <f t="shared" si="45"/>
        <v>804</v>
      </c>
      <c r="X518" s="9" t="str">
        <f t="shared" si="46"/>
        <v>u804</v>
      </c>
    </row>
    <row r="519" spans="1:24" x14ac:dyDescent="0.2">
      <c r="A519" s="9" t="s">
        <v>425</v>
      </c>
      <c r="B519" s="9">
        <v>1</v>
      </c>
      <c r="C519" s="22">
        <v>9</v>
      </c>
      <c r="D519" s="25"/>
      <c r="E519" s="23">
        <v>45229</v>
      </c>
      <c r="F519" s="23" t="s">
        <v>363</v>
      </c>
      <c r="G519" s="25" t="s">
        <v>37</v>
      </c>
      <c r="H519" s="24">
        <v>1</v>
      </c>
      <c r="I519" s="25" t="s">
        <v>207</v>
      </c>
      <c r="J519" s="32">
        <v>45228</v>
      </c>
      <c r="K519" s="24">
        <v>0.8</v>
      </c>
      <c r="L519" s="25">
        <f t="shared" si="47"/>
        <v>689</v>
      </c>
      <c r="M519" s="4">
        <f>IF(Table3[[#This Row],[Afrondingsdatum YB]]="N/A","-",Table3[[#This Row],[Afrondingsdatum YB]]-Table3[[#This Row],[StartDatum]])</f>
        <v>45228</v>
      </c>
      <c r="N519" s="4"/>
      <c r="O519">
        <f t="shared" si="44"/>
        <v>106</v>
      </c>
      <c r="P519">
        <f t="shared" si="43"/>
        <v>117</v>
      </c>
      <c r="Q519">
        <f t="shared" si="43"/>
        <v>108</v>
      </c>
      <c r="R519">
        <f t="shared" ref="P519:V555" si="48">CODE(MID($G519,R$1,1))</f>
        <v>105</v>
      </c>
      <c r="S519">
        <f t="shared" si="48"/>
        <v>97</v>
      </c>
      <c r="T519">
        <f t="shared" si="48"/>
        <v>110</v>
      </c>
      <c r="U519">
        <f t="shared" si="48"/>
        <v>46</v>
      </c>
      <c r="V519">
        <f t="shared" si="48"/>
        <v>118</v>
      </c>
      <c r="W519" s="5">
        <f t="shared" si="45"/>
        <v>886</v>
      </c>
      <c r="X519" s="9" t="str">
        <f t="shared" si="46"/>
        <v>u886</v>
      </c>
    </row>
    <row r="520" spans="1:24" x14ac:dyDescent="0.2">
      <c r="A520" s="9" t="s">
        <v>425</v>
      </c>
      <c r="B520" s="9">
        <v>1</v>
      </c>
      <c r="C520" s="22">
        <v>9</v>
      </c>
      <c r="D520" s="25"/>
      <c r="E520" s="18">
        <v>45229</v>
      </c>
      <c r="F520" s="18" t="s">
        <v>363</v>
      </c>
      <c r="G520" s="20" t="s">
        <v>38</v>
      </c>
      <c r="H520" s="19">
        <v>1</v>
      </c>
      <c r="I520" s="20" t="s">
        <v>208</v>
      </c>
      <c r="J520" s="34">
        <v>45223</v>
      </c>
      <c r="K520" s="19">
        <v>0.8</v>
      </c>
      <c r="L520" s="20">
        <f t="shared" si="47"/>
        <v>671</v>
      </c>
      <c r="M520" s="4">
        <f>IF(Table3[[#This Row],[Afrondingsdatum YB]]="N/A","-",Table3[[#This Row],[Afrondingsdatum YB]]-Table3[[#This Row],[StartDatum]])</f>
        <v>45223</v>
      </c>
      <c r="N520" s="4"/>
      <c r="O520">
        <f t="shared" si="44"/>
        <v>107</v>
      </c>
      <c r="P520">
        <f t="shared" si="48"/>
        <v>97</v>
      </c>
      <c r="Q520">
        <f t="shared" si="48"/>
        <v>105</v>
      </c>
      <c r="R520">
        <f t="shared" si="48"/>
        <v>46</v>
      </c>
      <c r="S520">
        <f t="shared" si="48"/>
        <v>104</v>
      </c>
      <c r="T520">
        <f t="shared" si="48"/>
        <v>97</v>
      </c>
      <c r="U520">
        <f t="shared" si="48"/>
        <v>115</v>
      </c>
      <c r="V520">
        <f t="shared" si="48"/>
        <v>115</v>
      </c>
      <c r="W520" s="5">
        <f t="shared" si="45"/>
        <v>913</v>
      </c>
      <c r="X520" s="9" t="str">
        <f t="shared" si="46"/>
        <v>a913</v>
      </c>
    </row>
    <row r="521" spans="1:24" x14ac:dyDescent="0.2">
      <c r="A521" s="9" t="s">
        <v>425</v>
      </c>
      <c r="B521" s="9">
        <v>1</v>
      </c>
      <c r="C521" s="22">
        <v>9</v>
      </c>
      <c r="D521" s="25"/>
      <c r="E521" s="23">
        <v>45229</v>
      </c>
      <c r="F521" s="23" t="s">
        <v>362</v>
      </c>
      <c r="G521" s="25" t="s">
        <v>39</v>
      </c>
      <c r="H521" s="24">
        <v>1</v>
      </c>
      <c r="I521" s="25" t="s">
        <v>226</v>
      </c>
      <c r="J521" s="32">
        <v>45226</v>
      </c>
      <c r="K521" s="24">
        <v>0.75</v>
      </c>
      <c r="L521" s="25">
        <f t="shared" si="47"/>
        <v>673</v>
      </c>
      <c r="M521" s="4">
        <f>IF(Table3[[#This Row],[Afrondingsdatum YB]]="N/A","-",Table3[[#This Row],[Afrondingsdatum YB]]-Table3[[#This Row],[StartDatum]])</f>
        <v>45226</v>
      </c>
      <c r="N521" s="4"/>
      <c r="O521">
        <f t="shared" si="44"/>
        <v>107</v>
      </c>
      <c r="P521">
        <f t="shared" si="48"/>
        <v>101</v>
      </c>
      <c r="Q521">
        <f t="shared" si="48"/>
        <v>110</v>
      </c>
      <c r="R521">
        <f t="shared" si="48"/>
        <v>97</v>
      </c>
      <c r="S521">
        <f t="shared" si="48"/>
        <v>110</v>
      </c>
      <c r="T521">
        <f t="shared" si="48"/>
        <v>46</v>
      </c>
      <c r="U521">
        <f t="shared" si="48"/>
        <v>102</v>
      </c>
      <c r="V521">
        <f t="shared" si="48"/>
        <v>108</v>
      </c>
      <c r="W521" s="5">
        <f t="shared" si="45"/>
        <v>878</v>
      </c>
      <c r="X521" s="9" t="str">
        <f t="shared" si="46"/>
        <v>e878</v>
      </c>
    </row>
    <row r="522" spans="1:24" x14ac:dyDescent="0.2">
      <c r="A522" s="9" t="s">
        <v>425</v>
      </c>
      <c r="B522" s="9">
        <v>1</v>
      </c>
      <c r="C522" s="22">
        <v>9</v>
      </c>
      <c r="D522" s="25"/>
      <c r="E522" s="18">
        <v>45229</v>
      </c>
      <c r="F522" s="18" t="s">
        <v>363</v>
      </c>
      <c r="G522" s="20" t="s">
        <v>40</v>
      </c>
      <c r="H522" s="19">
        <v>1</v>
      </c>
      <c r="I522" s="20" t="s">
        <v>227</v>
      </c>
      <c r="J522" s="34">
        <v>45225</v>
      </c>
      <c r="K522" s="19">
        <v>0.85</v>
      </c>
      <c r="L522" s="20">
        <f t="shared" si="47"/>
        <v>685</v>
      </c>
      <c r="M522" s="4">
        <f>IF(Table3[[#This Row],[Afrondingsdatum YB]]="N/A","-",Table3[[#This Row],[Afrondingsdatum YB]]-Table3[[#This Row],[StartDatum]])</f>
        <v>45225</v>
      </c>
      <c r="N522" s="4"/>
      <c r="O522">
        <f t="shared" si="44"/>
        <v>107</v>
      </c>
      <c r="P522">
        <f t="shared" si="48"/>
        <v>101</v>
      </c>
      <c r="Q522">
        <f t="shared" si="48"/>
        <v>118</v>
      </c>
      <c r="R522">
        <f t="shared" si="48"/>
        <v>105</v>
      </c>
      <c r="S522">
        <f t="shared" si="48"/>
        <v>110</v>
      </c>
      <c r="T522">
        <f t="shared" si="48"/>
        <v>46</v>
      </c>
      <c r="U522">
        <f t="shared" si="48"/>
        <v>98</v>
      </c>
      <c r="V522">
        <f t="shared" si="48"/>
        <v>97</v>
      </c>
      <c r="W522" s="5">
        <f t="shared" si="45"/>
        <v>889</v>
      </c>
      <c r="X522" s="9" t="str">
        <f t="shared" si="46"/>
        <v>e889</v>
      </c>
    </row>
    <row r="523" spans="1:24" x14ac:dyDescent="0.2">
      <c r="A523" s="9" t="s">
        <v>425</v>
      </c>
      <c r="B523" s="9">
        <v>1</v>
      </c>
      <c r="C523" s="22">
        <v>9</v>
      </c>
      <c r="D523" s="25"/>
      <c r="E523" s="23">
        <v>45229</v>
      </c>
      <c r="F523" s="23" t="s">
        <v>363</v>
      </c>
      <c r="G523" s="25" t="s">
        <v>41</v>
      </c>
      <c r="H523" s="24">
        <v>1</v>
      </c>
      <c r="I523" s="25" t="s">
        <v>121</v>
      </c>
      <c r="J523" s="32">
        <v>45218</v>
      </c>
      <c r="K523" s="24">
        <v>0.83</v>
      </c>
      <c r="L523" s="25">
        <f t="shared" si="47"/>
        <v>694</v>
      </c>
      <c r="M523" s="4">
        <f>IF(Table3[[#This Row],[Afrondingsdatum YB]]="N/A","-",Table3[[#This Row],[Afrondingsdatum YB]]-Table3[[#This Row],[StartDatum]])</f>
        <v>45218</v>
      </c>
      <c r="N523" s="4"/>
      <c r="O523">
        <f t="shared" si="44"/>
        <v>107</v>
      </c>
      <c r="P523">
        <f t="shared" si="48"/>
        <v>106</v>
      </c>
      <c r="Q523">
        <f t="shared" si="48"/>
        <v>101</v>
      </c>
      <c r="R523">
        <f t="shared" si="48"/>
        <v>108</v>
      </c>
      <c r="S523">
        <f t="shared" si="48"/>
        <v>108</v>
      </c>
      <c r="T523">
        <f t="shared" si="48"/>
        <v>46</v>
      </c>
      <c r="U523">
        <f t="shared" si="48"/>
        <v>118</v>
      </c>
      <c r="V523">
        <f t="shared" si="48"/>
        <v>97</v>
      </c>
      <c r="W523" s="5">
        <f t="shared" si="45"/>
        <v>859</v>
      </c>
      <c r="X523" s="9" t="str">
        <f t="shared" si="46"/>
        <v>j859</v>
      </c>
    </row>
    <row r="524" spans="1:24" x14ac:dyDescent="0.2">
      <c r="A524" s="9" t="s">
        <v>425</v>
      </c>
      <c r="B524" s="9">
        <v>1</v>
      </c>
      <c r="C524" s="22">
        <v>9</v>
      </c>
      <c r="D524" s="25"/>
      <c r="E524" s="18">
        <v>45229</v>
      </c>
      <c r="F524" s="18" t="s">
        <v>362</v>
      </c>
      <c r="G524" s="20" t="s">
        <v>79</v>
      </c>
      <c r="H524" s="19">
        <v>1</v>
      </c>
      <c r="I524" s="20" t="s">
        <v>72</v>
      </c>
      <c r="J524" s="34">
        <v>45214</v>
      </c>
      <c r="K524" s="19">
        <v>0.7</v>
      </c>
      <c r="L524" s="20">
        <f t="shared" si="47"/>
        <v>679</v>
      </c>
      <c r="M524" s="4">
        <f>IF(Table3[[#This Row],[Afrondingsdatum YB]]="N/A","-",Table3[[#This Row],[Afrondingsdatum YB]]-Table3[[#This Row],[StartDatum]])</f>
        <v>45214</v>
      </c>
      <c r="N524" s="4"/>
      <c r="O524">
        <f t="shared" si="44"/>
        <v>108</v>
      </c>
      <c r="P524">
        <f t="shared" si="48"/>
        <v>97</v>
      </c>
      <c r="Q524">
        <f t="shared" si="48"/>
        <v>109</v>
      </c>
      <c r="R524">
        <f t="shared" si="48"/>
        <v>121</v>
      </c>
      <c r="S524">
        <f t="shared" si="48"/>
        <v>97</v>
      </c>
      <c r="T524">
        <f t="shared" si="48"/>
        <v>101</v>
      </c>
      <c r="U524">
        <f t="shared" si="48"/>
        <v>46</v>
      </c>
      <c r="V524">
        <f t="shared" si="48"/>
        <v>101</v>
      </c>
      <c r="W524" s="5">
        <f t="shared" si="45"/>
        <v>859</v>
      </c>
      <c r="X524" s="9" t="str">
        <f t="shared" si="46"/>
        <v>a859</v>
      </c>
    </row>
    <row r="525" spans="1:24" x14ac:dyDescent="0.2">
      <c r="A525" s="9" t="s">
        <v>425</v>
      </c>
      <c r="B525" s="9">
        <v>1</v>
      </c>
      <c r="C525" s="22">
        <v>9</v>
      </c>
      <c r="D525" s="25"/>
      <c r="E525" s="23">
        <v>45229</v>
      </c>
      <c r="F525" s="23" t="s">
        <v>363</v>
      </c>
      <c r="G525" s="25" t="s">
        <v>42</v>
      </c>
      <c r="H525" s="24">
        <v>1</v>
      </c>
      <c r="I525" s="25" t="s">
        <v>121</v>
      </c>
      <c r="J525" s="32">
        <v>45227</v>
      </c>
      <c r="K525" s="24">
        <v>0.7</v>
      </c>
      <c r="L525" s="25">
        <f t="shared" si="47"/>
        <v>687</v>
      </c>
      <c r="M525" s="4">
        <f>IF(Table3[[#This Row],[Afrondingsdatum YB]]="N/A","-",Table3[[#This Row],[Afrondingsdatum YB]]-Table3[[#This Row],[StartDatum]])</f>
        <v>45227</v>
      </c>
      <c r="N525" s="4"/>
      <c r="O525">
        <f t="shared" si="44"/>
        <v>108</v>
      </c>
      <c r="P525">
        <f t="shared" si="48"/>
        <v>105</v>
      </c>
      <c r="Q525">
        <f t="shared" si="48"/>
        <v>110</v>
      </c>
      <c r="R525">
        <f t="shared" si="48"/>
        <v>100</v>
      </c>
      <c r="S525">
        <f t="shared" si="48"/>
        <v>121</v>
      </c>
      <c r="T525">
        <f t="shared" si="48"/>
        <v>46</v>
      </c>
      <c r="U525">
        <f t="shared" si="48"/>
        <v>97</v>
      </c>
      <c r="V525">
        <f t="shared" si="48"/>
        <v>110</v>
      </c>
      <c r="W525" s="5">
        <f t="shared" si="45"/>
        <v>890</v>
      </c>
      <c r="X525" s="9" t="str">
        <f t="shared" si="46"/>
        <v>i890</v>
      </c>
    </row>
    <row r="526" spans="1:24" x14ac:dyDescent="0.2">
      <c r="A526" s="9" t="s">
        <v>425</v>
      </c>
      <c r="B526" s="9">
        <v>1</v>
      </c>
      <c r="C526" s="22">
        <v>9</v>
      </c>
      <c r="D526" s="25"/>
      <c r="E526" s="18">
        <v>45229</v>
      </c>
      <c r="F526" s="18" t="s">
        <v>363</v>
      </c>
      <c r="G526" s="20" t="s">
        <v>43</v>
      </c>
      <c r="H526" s="19">
        <v>0.99</v>
      </c>
      <c r="I526" s="20" t="s">
        <v>228</v>
      </c>
      <c r="J526" s="20" t="s">
        <v>7</v>
      </c>
      <c r="K526" s="20" t="s">
        <v>9</v>
      </c>
      <c r="L526" s="20">
        <f t="shared" si="47"/>
        <v>689</v>
      </c>
      <c r="M526" s="4" t="str">
        <f>IF(Table3[[#This Row],[Afrondingsdatum YB]]="N/A","-",Table3[[#This Row],[Afrondingsdatum YB]]-Table3[[#This Row],[StartDatum]])</f>
        <v>-</v>
      </c>
      <c r="N526" s="4"/>
      <c r="O526">
        <f t="shared" si="44"/>
        <v>108</v>
      </c>
      <c r="P526">
        <f t="shared" si="48"/>
        <v>117</v>
      </c>
      <c r="Q526">
        <f t="shared" si="48"/>
        <v>99</v>
      </c>
      <c r="R526">
        <f t="shared" si="48"/>
        <v>46</v>
      </c>
      <c r="S526">
        <f t="shared" si="48"/>
        <v>98</v>
      </c>
      <c r="T526">
        <f t="shared" si="48"/>
        <v>111</v>
      </c>
      <c r="U526">
        <f t="shared" si="48"/>
        <v>110</v>
      </c>
      <c r="V526">
        <f t="shared" si="48"/>
        <v>100</v>
      </c>
      <c r="W526" s="5">
        <f t="shared" si="45"/>
        <v>894</v>
      </c>
      <c r="X526" s="9" t="str">
        <f t="shared" si="46"/>
        <v>u894</v>
      </c>
    </row>
    <row r="527" spans="1:24" x14ac:dyDescent="0.2">
      <c r="A527" s="9" t="s">
        <v>425</v>
      </c>
      <c r="B527" s="9">
        <v>1</v>
      </c>
      <c r="C527" s="22">
        <v>9</v>
      </c>
      <c r="D527" s="25"/>
      <c r="E527" s="23">
        <v>45229</v>
      </c>
      <c r="F527" s="23" t="s">
        <v>364</v>
      </c>
      <c r="G527" s="25" t="s">
        <v>44</v>
      </c>
      <c r="H527" s="24">
        <v>1</v>
      </c>
      <c r="I527" s="25" t="s">
        <v>102</v>
      </c>
      <c r="J527" s="32">
        <v>45217</v>
      </c>
      <c r="K527" s="24">
        <v>0.73</v>
      </c>
      <c r="L527" s="25">
        <f t="shared" si="47"/>
        <v>680</v>
      </c>
      <c r="M527" s="4">
        <f>IF(Table3[[#This Row],[Afrondingsdatum YB]]="N/A","-",Table3[[#This Row],[Afrondingsdatum YB]]-Table3[[#This Row],[StartDatum]])</f>
        <v>45217</v>
      </c>
      <c r="N527" s="4"/>
      <c r="O527">
        <f t="shared" si="44"/>
        <v>108</v>
      </c>
      <c r="P527">
        <f t="shared" si="48"/>
        <v>117</v>
      </c>
      <c r="Q527">
        <f t="shared" si="48"/>
        <v>99</v>
      </c>
      <c r="R527">
        <f t="shared" si="48"/>
        <v>97</v>
      </c>
      <c r="S527">
        <f t="shared" si="48"/>
        <v>115</v>
      </c>
      <c r="T527">
        <f t="shared" si="48"/>
        <v>46</v>
      </c>
      <c r="U527">
        <f t="shared" si="48"/>
        <v>98</v>
      </c>
      <c r="V527">
        <f t="shared" si="48"/>
        <v>114</v>
      </c>
      <c r="W527" s="5">
        <f t="shared" si="45"/>
        <v>861</v>
      </c>
      <c r="X527" s="9" t="str">
        <f t="shared" si="46"/>
        <v>u861</v>
      </c>
    </row>
    <row r="528" spans="1:24" x14ac:dyDescent="0.2">
      <c r="A528" s="9" t="s">
        <v>425</v>
      </c>
      <c r="B528" s="9">
        <v>1</v>
      </c>
      <c r="C528" s="22">
        <v>9</v>
      </c>
      <c r="D528" s="25"/>
      <c r="E528" s="18">
        <v>45229</v>
      </c>
      <c r="F528" s="18" t="s">
        <v>363</v>
      </c>
      <c r="G528" s="20" t="s">
        <v>81</v>
      </c>
      <c r="H528" s="19">
        <v>1</v>
      </c>
      <c r="I528" s="20" t="s">
        <v>229</v>
      </c>
      <c r="J528" s="34">
        <v>45228</v>
      </c>
      <c r="K528" s="19">
        <v>0.7</v>
      </c>
      <c r="L528" s="20">
        <f t="shared" si="47"/>
        <v>668</v>
      </c>
      <c r="M528" s="4">
        <f>IF(Table3[[#This Row],[Afrondingsdatum YB]]="N/A","-",Table3[[#This Row],[Afrondingsdatum YB]]-Table3[[#This Row],[StartDatum]])</f>
        <v>45228</v>
      </c>
      <c r="N528" s="4"/>
      <c r="O528">
        <f t="shared" si="44"/>
        <v>76</v>
      </c>
      <c r="P528">
        <f t="shared" si="48"/>
        <v>117</v>
      </c>
      <c r="Q528">
        <f t="shared" si="48"/>
        <v>99</v>
      </c>
      <c r="R528">
        <f t="shared" si="48"/>
        <v>97</v>
      </c>
      <c r="S528">
        <f t="shared" si="48"/>
        <v>115</v>
      </c>
      <c r="T528">
        <f t="shared" si="48"/>
        <v>46</v>
      </c>
      <c r="U528">
        <f t="shared" si="48"/>
        <v>118</v>
      </c>
      <c r="V528">
        <f t="shared" si="48"/>
        <v>97</v>
      </c>
      <c r="W528" s="5">
        <f t="shared" si="45"/>
        <v>832</v>
      </c>
      <c r="X528" s="9" t="str">
        <f t="shared" si="46"/>
        <v>u832</v>
      </c>
    </row>
    <row r="529" spans="1:24" x14ac:dyDescent="0.2">
      <c r="A529" s="9" t="s">
        <v>425</v>
      </c>
      <c r="B529" s="9">
        <v>1</v>
      </c>
      <c r="C529" s="22">
        <v>9</v>
      </c>
      <c r="D529" s="25"/>
      <c r="E529" s="23">
        <v>45229</v>
      </c>
      <c r="F529" s="23" t="s">
        <v>364</v>
      </c>
      <c r="G529" s="25" t="s">
        <v>45</v>
      </c>
      <c r="H529" s="24">
        <v>0.57999999999999996</v>
      </c>
      <c r="I529" s="25" t="s">
        <v>175</v>
      </c>
      <c r="J529" s="25" t="s">
        <v>7</v>
      </c>
      <c r="K529" s="25" t="s">
        <v>9</v>
      </c>
      <c r="L529" s="25">
        <f t="shared" si="47"/>
        <v>757</v>
      </c>
      <c r="M529" s="4" t="str">
        <f>IF(Table3[[#This Row],[Afrondingsdatum YB]]="N/A","-",Table3[[#This Row],[Afrondingsdatum YB]]-Table3[[#This Row],[StartDatum]])</f>
        <v>-</v>
      </c>
      <c r="N529" s="4"/>
      <c r="O529">
        <f t="shared" si="44"/>
        <v>109</v>
      </c>
      <c r="P529">
        <f t="shared" si="48"/>
        <v>97</v>
      </c>
      <c r="Q529">
        <f t="shared" si="48"/>
        <v>114</v>
      </c>
      <c r="R529">
        <f t="shared" si="48"/>
        <v>116</v>
      </c>
      <c r="S529">
        <f t="shared" si="48"/>
        <v>105</v>
      </c>
      <c r="T529">
        <f t="shared" si="48"/>
        <v>106</v>
      </c>
      <c r="U529">
        <f t="shared" si="48"/>
        <v>110</v>
      </c>
      <c r="V529">
        <f t="shared" si="48"/>
        <v>46</v>
      </c>
      <c r="W529" s="5">
        <f t="shared" si="45"/>
        <v>896</v>
      </c>
      <c r="X529" s="9" t="str">
        <f t="shared" si="46"/>
        <v>a896</v>
      </c>
    </row>
    <row r="530" spans="1:24" x14ac:dyDescent="0.2">
      <c r="A530" s="9" t="s">
        <v>425</v>
      </c>
      <c r="B530" s="9">
        <v>1</v>
      </c>
      <c r="C530" s="22">
        <v>9</v>
      </c>
      <c r="D530" s="25"/>
      <c r="E530" s="18">
        <v>45229</v>
      </c>
      <c r="F530" s="18" t="s">
        <v>364</v>
      </c>
      <c r="G530" s="20" t="s">
        <v>46</v>
      </c>
      <c r="H530" s="19">
        <v>1</v>
      </c>
      <c r="I530" s="20" t="s">
        <v>210</v>
      </c>
      <c r="J530" s="34">
        <v>45217</v>
      </c>
      <c r="K530" s="19">
        <v>0.85</v>
      </c>
      <c r="L530" s="20">
        <f t="shared" si="47"/>
        <v>682</v>
      </c>
      <c r="M530" s="4">
        <f>IF(Table3[[#This Row],[Afrondingsdatum YB]]="N/A","-",Table3[[#This Row],[Afrondingsdatum YB]]-Table3[[#This Row],[StartDatum]])</f>
        <v>45217</v>
      </c>
      <c r="N530" s="4"/>
      <c r="O530">
        <f t="shared" si="44"/>
        <v>109</v>
      </c>
      <c r="P530">
        <f t="shared" si="48"/>
        <v>97</v>
      </c>
      <c r="Q530">
        <f t="shared" si="48"/>
        <v>114</v>
      </c>
      <c r="R530">
        <f t="shared" si="48"/>
        <v>119</v>
      </c>
      <c r="S530">
        <f t="shared" si="48"/>
        <v>97</v>
      </c>
      <c r="T530">
        <f t="shared" si="48"/>
        <v>46</v>
      </c>
      <c r="U530">
        <f t="shared" si="48"/>
        <v>100</v>
      </c>
      <c r="V530">
        <f t="shared" si="48"/>
        <v>97</v>
      </c>
      <c r="W530" s="5">
        <f t="shared" si="45"/>
        <v>869</v>
      </c>
      <c r="X530" s="9" t="str">
        <f t="shared" si="46"/>
        <v>a869</v>
      </c>
    </row>
    <row r="531" spans="1:24" x14ac:dyDescent="0.2">
      <c r="A531" s="9" t="s">
        <v>425</v>
      </c>
      <c r="B531" s="9">
        <v>1</v>
      </c>
      <c r="C531" s="22">
        <v>9</v>
      </c>
      <c r="D531" s="25"/>
      <c r="E531" s="23">
        <v>45229</v>
      </c>
      <c r="F531" s="23" t="s">
        <v>364</v>
      </c>
      <c r="G531" s="25" t="s">
        <v>47</v>
      </c>
      <c r="H531" s="24">
        <v>0</v>
      </c>
      <c r="I531" s="25" t="s">
        <v>8</v>
      </c>
      <c r="J531" s="25" t="s">
        <v>7</v>
      </c>
      <c r="K531" s="25" t="s">
        <v>9</v>
      </c>
      <c r="L531" s="25">
        <f t="shared" si="47"/>
        <v>673</v>
      </c>
      <c r="M531" s="4" t="str">
        <f>IF(Table3[[#This Row],[Afrondingsdatum YB]]="N/A","-",Table3[[#This Row],[Afrondingsdatum YB]]-Table3[[#This Row],[StartDatum]])</f>
        <v>-</v>
      </c>
      <c r="N531" s="4"/>
      <c r="O531">
        <f t="shared" si="44"/>
        <v>109</v>
      </c>
      <c r="P531">
        <f t="shared" si="48"/>
        <v>101</v>
      </c>
      <c r="Q531">
        <f t="shared" si="48"/>
        <v>101</v>
      </c>
      <c r="R531">
        <f t="shared" si="48"/>
        <v>115</v>
      </c>
      <c r="S531">
        <f t="shared" si="48"/>
        <v>46</v>
      </c>
      <c r="T531">
        <f t="shared" si="48"/>
        <v>100</v>
      </c>
      <c r="U531">
        <f t="shared" si="48"/>
        <v>101</v>
      </c>
      <c r="V531">
        <f t="shared" si="48"/>
        <v>46</v>
      </c>
      <c r="W531" s="5">
        <f t="shared" si="45"/>
        <v>784</v>
      </c>
      <c r="X531" s="9" t="str">
        <f t="shared" si="46"/>
        <v>e784</v>
      </c>
    </row>
    <row r="532" spans="1:24" x14ac:dyDescent="0.2">
      <c r="A532" s="9" t="s">
        <v>425</v>
      </c>
      <c r="B532" s="9">
        <v>1</v>
      </c>
      <c r="C532" s="22">
        <v>9</v>
      </c>
      <c r="D532" s="25"/>
      <c r="E532" s="18">
        <v>45229</v>
      </c>
      <c r="F532" s="18" t="s">
        <v>363</v>
      </c>
      <c r="G532" s="20" t="s">
        <v>48</v>
      </c>
      <c r="H532" s="19">
        <v>1</v>
      </c>
      <c r="I532" s="20" t="s">
        <v>189</v>
      </c>
      <c r="J532" s="34">
        <v>45226</v>
      </c>
      <c r="K532" s="19">
        <v>0.8</v>
      </c>
      <c r="L532" s="20">
        <f t="shared" si="47"/>
        <v>675</v>
      </c>
      <c r="M532" s="4">
        <f>IF(Table3[[#This Row],[Afrondingsdatum YB]]="N/A","-",Table3[[#This Row],[Afrondingsdatum YB]]-Table3[[#This Row],[StartDatum]])</f>
        <v>45226</v>
      </c>
      <c r="N532" s="4"/>
      <c r="O532">
        <f t="shared" si="44"/>
        <v>109</v>
      </c>
      <c r="P532">
        <f t="shared" si="48"/>
        <v>105</v>
      </c>
      <c r="Q532">
        <f t="shared" si="48"/>
        <v>108</v>
      </c>
      <c r="R532">
        <f t="shared" si="48"/>
        <v>97</v>
      </c>
      <c r="S532">
        <f t="shared" si="48"/>
        <v>110</v>
      </c>
      <c r="T532">
        <f t="shared" si="48"/>
        <v>46</v>
      </c>
      <c r="U532">
        <f t="shared" si="48"/>
        <v>100</v>
      </c>
      <c r="V532">
        <f t="shared" si="48"/>
        <v>105</v>
      </c>
      <c r="W532" s="5">
        <f t="shared" si="45"/>
        <v>871</v>
      </c>
      <c r="X532" s="9" t="str">
        <f t="shared" si="46"/>
        <v>i871</v>
      </c>
    </row>
    <row r="533" spans="1:24" x14ac:dyDescent="0.2">
      <c r="A533" s="9" t="s">
        <v>425</v>
      </c>
      <c r="B533" s="9">
        <v>1</v>
      </c>
      <c r="C533" s="22">
        <v>9</v>
      </c>
      <c r="D533" s="25"/>
      <c r="E533" s="23">
        <v>45229</v>
      </c>
      <c r="F533" s="23" t="s">
        <v>364</v>
      </c>
      <c r="G533" s="25" t="s">
        <v>49</v>
      </c>
      <c r="H533" s="24">
        <v>1</v>
      </c>
      <c r="I533" s="25" t="s">
        <v>211</v>
      </c>
      <c r="J533" s="32">
        <v>45217</v>
      </c>
      <c r="K533" s="24">
        <v>0.73</v>
      </c>
      <c r="L533" s="25">
        <f t="shared" si="47"/>
        <v>690</v>
      </c>
      <c r="M533" s="4">
        <f>IF(Table3[[#This Row],[Afrondingsdatum YB]]="N/A","-",Table3[[#This Row],[Afrondingsdatum YB]]-Table3[[#This Row],[StartDatum]])</f>
        <v>45217</v>
      </c>
      <c r="N533" s="4"/>
      <c r="O533">
        <f t="shared" si="44"/>
        <v>109</v>
      </c>
      <c r="P533">
        <f t="shared" si="48"/>
        <v>105</v>
      </c>
      <c r="Q533">
        <f t="shared" si="48"/>
        <v>114</v>
      </c>
      <c r="R533">
        <f t="shared" si="48"/>
        <v>110</v>
      </c>
      <c r="S533">
        <f t="shared" si="48"/>
        <v>97</v>
      </c>
      <c r="T533">
        <f t="shared" si="48"/>
        <v>46</v>
      </c>
      <c r="U533">
        <f t="shared" si="48"/>
        <v>109</v>
      </c>
      <c r="V533">
        <f t="shared" si="48"/>
        <v>111</v>
      </c>
      <c r="W533" s="5">
        <f t="shared" si="45"/>
        <v>894</v>
      </c>
      <c r="X533" s="9" t="str">
        <f t="shared" si="46"/>
        <v>i894</v>
      </c>
    </row>
    <row r="534" spans="1:24" x14ac:dyDescent="0.2">
      <c r="A534" s="9" t="s">
        <v>425</v>
      </c>
      <c r="B534" s="9">
        <v>1</v>
      </c>
      <c r="C534" s="22">
        <v>9</v>
      </c>
      <c r="D534" s="25"/>
      <c r="E534" s="18">
        <v>45229</v>
      </c>
      <c r="F534" s="18" t="s">
        <v>364</v>
      </c>
      <c r="G534" s="20" t="s">
        <v>50</v>
      </c>
      <c r="H534" s="19">
        <v>1</v>
      </c>
      <c r="I534" s="20" t="s">
        <v>212</v>
      </c>
      <c r="J534" s="34">
        <v>45217</v>
      </c>
      <c r="K534" s="19">
        <v>0.75</v>
      </c>
      <c r="L534" s="20">
        <f t="shared" si="47"/>
        <v>731</v>
      </c>
      <c r="M534" s="4">
        <f>IF(Table3[[#This Row],[Afrondingsdatum YB]]="N/A","-",Table3[[#This Row],[Afrondingsdatum YB]]-Table3[[#This Row],[StartDatum]])</f>
        <v>45217</v>
      </c>
      <c r="N534" s="4"/>
      <c r="O534">
        <f t="shared" si="44"/>
        <v>109</v>
      </c>
      <c r="P534">
        <f t="shared" si="48"/>
        <v>111</v>
      </c>
      <c r="Q534">
        <f t="shared" si="48"/>
        <v>104</v>
      </c>
      <c r="R534">
        <f t="shared" si="48"/>
        <v>97</v>
      </c>
      <c r="S534">
        <f t="shared" si="48"/>
        <v>109</v>
      </c>
      <c r="T534">
        <f t="shared" si="48"/>
        <v>101</v>
      </c>
      <c r="U534">
        <f t="shared" si="48"/>
        <v>100</v>
      </c>
      <c r="V534">
        <f t="shared" si="48"/>
        <v>46</v>
      </c>
      <c r="W534" s="5">
        <f t="shared" si="45"/>
        <v>857</v>
      </c>
      <c r="X534" s="9" t="str">
        <f t="shared" si="46"/>
        <v>o857</v>
      </c>
    </row>
    <row r="535" spans="1:24" x14ac:dyDescent="0.2">
      <c r="A535" s="9" t="s">
        <v>425</v>
      </c>
      <c r="B535" s="9">
        <v>1</v>
      </c>
      <c r="C535" s="22">
        <v>9</v>
      </c>
      <c r="D535" s="25"/>
      <c r="E535" s="23">
        <v>45229</v>
      </c>
      <c r="F535" s="23" t="s">
        <v>362</v>
      </c>
      <c r="G535" s="25" t="s">
        <v>127</v>
      </c>
      <c r="H535" s="24">
        <v>7.0000000000000007E-2</v>
      </c>
      <c r="I535" s="25" t="s">
        <v>230</v>
      </c>
      <c r="J535" s="25" t="s">
        <v>7</v>
      </c>
      <c r="K535" s="25" t="s">
        <v>9</v>
      </c>
      <c r="L535" s="25">
        <f t="shared" si="47"/>
        <v>758</v>
      </c>
      <c r="M535" s="4" t="str">
        <f>IF(Table3[[#This Row],[Afrondingsdatum YB]]="N/A","-",Table3[[#This Row],[Afrondingsdatum YB]]-Table3[[#This Row],[StartDatum]])</f>
        <v>-</v>
      </c>
      <c r="N535" s="4"/>
      <c r="O535">
        <f t="shared" si="44"/>
        <v>109</v>
      </c>
      <c r="P535">
        <f t="shared" si="48"/>
        <v>111</v>
      </c>
      <c r="Q535">
        <f t="shared" si="48"/>
        <v>107</v>
      </c>
      <c r="R535">
        <f t="shared" si="48"/>
        <v>104</v>
      </c>
      <c r="S535">
        <f t="shared" si="48"/>
        <v>116</v>
      </c>
      <c r="T535">
        <f t="shared" si="48"/>
        <v>97</v>
      </c>
      <c r="U535">
        <f t="shared" si="48"/>
        <v>114</v>
      </c>
      <c r="V535">
        <f t="shared" si="48"/>
        <v>46</v>
      </c>
      <c r="W535" s="5">
        <f t="shared" si="45"/>
        <v>885</v>
      </c>
      <c r="X535" s="9" t="str">
        <f t="shared" si="46"/>
        <v>o885</v>
      </c>
    </row>
    <row r="536" spans="1:24" x14ac:dyDescent="0.2">
      <c r="A536" s="9" t="s">
        <v>425</v>
      </c>
      <c r="B536" s="9">
        <v>1</v>
      </c>
      <c r="C536" s="22">
        <v>9</v>
      </c>
      <c r="D536" s="25"/>
      <c r="E536" s="18">
        <v>45229</v>
      </c>
      <c r="F536" s="18" t="s">
        <v>363</v>
      </c>
      <c r="G536" s="20" t="s">
        <v>51</v>
      </c>
      <c r="H536" s="19">
        <v>1</v>
      </c>
      <c r="I536" s="20" t="s">
        <v>231</v>
      </c>
      <c r="J536" s="34">
        <v>45228</v>
      </c>
      <c r="K536" s="19">
        <v>0.75</v>
      </c>
      <c r="L536" s="20">
        <f t="shared" si="47"/>
        <v>742</v>
      </c>
      <c r="M536" s="4">
        <f>IF(Table3[[#This Row],[Afrondingsdatum YB]]="N/A","-",Table3[[#This Row],[Afrondingsdatum YB]]-Table3[[#This Row],[StartDatum]])</f>
        <v>45228</v>
      </c>
      <c r="N536" s="4"/>
      <c r="O536">
        <f t="shared" si="44"/>
        <v>110</v>
      </c>
      <c r="P536">
        <f t="shared" si="48"/>
        <v>97</v>
      </c>
      <c r="Q536">
        <f t="shared" si="48"/>
        <v>111</v>
      </c>
      <c r="R536">
        <f t="shared" si="48"/>
        <v>117</v>
      </c>
      <c r="S536">
        <f t="shared" si="48"/>
        <v>102</v>
      </c>
      <c r="T536">
        <f t="shared" si="48"/>
        <v>97</v>
      </c>
      <c r="U536">
        <f t="shared" si="48"/>
        <v>108</v>
      </c>
      <c r="V536">
        <f t="shared" si="48"/>
        <v>46</v>
      </c>
      <c r="W536" s="5">
        <f t="shared" si="45"/>
        <v>874</v>
      </c>
      <c r="X536" s="9" t="str">
        <f t="shared" si="46"/>
        <v>a874</v>
      </c>
    </row>
    <row r="537" spans="1:24" x14ac:dyDescent="0.2">
      <c r="A537" s="9" t="s">
        <v>425</v>
      </c>
      <c r="B537" s="9">
        <v>1</v>
      </c>
      <c r="C537" s="22">
        <v>9</v>
      </c>
      <c r="D537" s="25"/>
      <c r="E537" s="23">
        <v>45229</v>
      </c>
      <c r="F537" s="23" t="s">
        <v>362</v>
      </c>
      <c r="G537" s="25" t="s">
        <v>52</v>
      </c>
      <c r="H537" s="24">
        <v>0</v>
      </c>
      <c r="I537" s="25" t="s">
        <v>8</v>
      </c>
      <c r="J537" s="25" t="s">
        <v>7</v>
      </c>
      <c r="K537" s="25" t="s">
        <v>9</v>
      </c>
      <c r="L537" s="25">
        <f t="shared" si="47"/>
        <v>684</v>
      </c>
      <c r="M537" s="4" t="str">
        <f>IF(Table3[[#This Row],[Afrondingsdatum YB]]="N/A","-",Table3[[#This Row],[Afrondingsdatum YB]]-Table3[[#This Row],[StartDatum]])</f>
        <v>-</v>
      </c>
      <c r="N537" s="4"/>
      <c r="O537">
        <f t="shared" si="44"/>
        <v>110</v>
      </c>
      <c r="P537">
        <f t="shared" si="48"/>
        <v>105</v>
      </c>
      <c r="Q537">
        <f t="shared" si="48"/>
        <v>99</v>
      </c>
      <c r="R537">
        <f t="shared" si="48"/>
        <v>107</v>
      </c>
      <c r="S537">
        <f t="shared" si="48"/>
        <v>46</v>
      </c>
      <c r="T537">
        <f t="shared" si="48"/>
        <v>106</v>
      </c>
      <c r="U537">
        <f t="shared" si="48"/>
        <v>111</v>
      </c>
      <c r="V537">
        <f t="shared" si="48"/>
        <v>111</v>
      </c>
      <c r="W537" s="5">
        <f t="shared" si="45"/>
        <v>860</v>
      </c>
      <c r="X537" s="9" t="str">
        <f t="shared" si="46"/>
        <v>i860</v>
      </c>
    </row>
    <row r="538" spans="1:24" x14ac:dyDescent="0.2">
      <c r="A538" s="9" t="s">
        <v>425</v>
      </c>
      <c r="B538" s="9">
        <v>1</v>
      </c>
      <c r="C538" s="22">
        <v>9</v>
      </c>
      <c r="D538" s="25"/>
      <c r="E538" s="18">
        <v>45229</v>
      </c>
      <c r="F538" s="18" t="s">
        <v>364</v>
      </c>
      <c r="G538" s="20" t="s">
        <v>53</v>
      </c>
      <c r="H538" s="19">
        <v>0</v>
      </c>
      <c r="I538" s="20" t="s">
        <v>8</v>
      </c>
      <c r="J538" s="20" t="s">
        <v>7</v>
      </c>
      <c r="K538" s="20" t="s">
        <v>9</v>
      </c>
      <c r="L538" s="20">
        <f t="shared" si="47"/>
        <v>737</v>
      </c>
      <c r="M538" s="4" t="str">
        <f>IF(Table3[[#This Row],[Afrondingsdatum YB]]="N/A","-",Table3[[#This Row],[Afrondingsdatum YB]]-Table3[[#This Row],[StartDatum]])</f>
        <v>-</v>
      </c>
      <c r="N538" s="4"/>
      <c r="O538">
        <f t="shared" si="44"/>
        <v>110</v>
      </c>
      <c r="P538">
        <f t="shared" si="48"/>
        <v>105</v>
      </c>
      <c r="Q538">
        <f t="shared" si="48"/>
        <v>99</v>
      </c>
      <c r="R538">
        <f t="shared" si="48"/>
        <v>107</v>
      </c>
      <c r="S538">
        <f t="shared" si="48"/>
        <v>111</v>
      </c>
      <c r="T538">
        <f t="shared" si="48"/>
        <v>108</v>
      </c>
      <c r="U538">
        <f t="shared" si="48"/>
        <v>97</v>
      </c>
      <c r="V538">
        <f t="shared" si="48"/>
        <v>115</v>
      </c>
      <c r="W538" s="5">
        <f t="shared" si="45"/>
        <v>917</v>
      </c>
      <c r="X538" s="9" t="str">
        <f t="shared" si="46"/>
        <v>i917</v>
      </c>
    </row>
    <row r="539" spans="1:24" x14ac:dyDescent="0.2">
      <c r="A539" s="9" t="s">
        <v>425</v>
      </c>
      <c r="B539" s="9">
        <v>1</v>
      </c>
      <c r="C539" s="22">
        <v>9</v>
      </c>
      <c r="D539" s="25"/>
      <c r="E539" s="23">
        <v>45229</v>
      </c>
      <c r="F539" s="23" t="s">
        <v>364</v>
      </c>
      <c r="G539" s="25" t="s">
        <v>54</v>
      </c>
      <c r="H539" s="24">
        <v>0.04</v>
      </c>
      <c r="I539" s="25" t="s">
        <v>76</v>
      </c>
      <c r="J539" s="25" t="s">
        <v>7</v>
      </c>
      <c r="K539" s="25" t="s">
        <v>9</v>
      </c>
      <c r="L539" s="25">
        <f t="shared" si="47"/>
        <v>705</v>
      </c>
      <c r="M539" s="4" t="str">
        <f>IF(Table3[[#This Row],[Afrondingsdatum YB]]="N/A","-",Table3[[#This Row],[Afrondingsdatum YB]]-Table3[[#This Row],[StartDatum]])</f>
        <v>-</v>
      </c>
      <c r="N539" s="4"/>
      <c r="O539">
        <f t="shared" si="44"/>
        <v>110</v>
      </c>
      <c r="P539">
        <f t="shared" si="48"/>
        <v>105</v>
      </c>
      <c r="Q539">
        <f t="shared" si="48"/>
        <v>115</v>
      </c>
      <c r="R539">
        <f t="shared" si="48"/>
        <v>114</v>
      </c>
      <c r="S539">
        <f t="shared" si="48"/>
        <v>105</v>
      </c>
      <c r="T539">
        <f t="shared" si="48"/>
        <v>110</v>
      </c>
      <c r="U539">
        <f t="shared" si="48"/>
        <v>46</v>
      </c>
      <c r="V539">
        <f t="shared" si="48"/>
        <v>104</v>
      </c>
      <c r="W539" s="5">
        <f t="shared" si="45"/>
        <v>901</v>
      </c>
      <c r="X539" s="9" t="str">
        <f t="shared" si="46"/>
        <v>i901</v>
      </c>
    </row>
    <row r="540" spans="1:24" x14ac:dyDescent="0.2">
      <c r="A540" s="9" t="s">
        <v>425</v>
      </c>
      <c r="B540" s="9">
        <v>1</v>
      </c>
      <c r="C540" s="22">
        <v>9</v>
      </c>
      <c r="D540" s="25"/>
      <c r="E540" s="18">
        <v>45229</v>
      </c>
      <c r="F540" s="18" t="s">
        <v>364</v>
      </c>
      <c r="G540" s="20" t="s">
        <v>55</v>
      </c>
      <c r="H540" s="19">
        <v>1</v>
      </c>
      <c r="I540" s="20" t="s">
        <v>214</v>
      </c>
      <c r="J540" s="34">
        <v>45217</v>
      </c>
      <c r="K540" s="19">
        <v>0.95</v>
      </c>
      <c r="L540" s="20">
        <f t="shared" si="47"/>
        <v>681</v>
      </c>
      <c r="M540" s="4">
        <f>IF(Table3[[#This Row],[Afrondingsdatum YB]]="N/A","-",Table3[[#This Row],[Afrondingsdatum YB]]-Table3[[#This Row],[StartDatum]])</f>
        <v>45217</v>
      </c>
      <c r="N540" s="4"/>
      <c r="O540">
        <f t="shared" si="44"/>
        <v>110</v>
      </c>
      <c r="P540">
        <f t="shared" si="48"/>
        <v>111</v>
      </c>
      <c r="Q540">
        <f t="shared" si="48"/>
        <v>101</v>
      </c>
      <c r="R540">
        <f t="shared" si="48"/>
        <v>108</v>
      </c>
      <c r="S540">
        <f t="shared" si="48"/>
        <v>108</v>
      </c>
      <c r="T540">
        <f t="shared" si="48"/>
        <v>97</v>
      </c>
      <c r="U540">
        <f t="shared" si="48"/>
        <v>46</v>
      </c>
      <c r="V540">
        <f t="shared" si="48"/>
        <v>108</v>
      </c>
      <c r="W540" s="5">
        <f t="shared" si="45"/>
        <v>855</v>
      </c>
      <c r="X540" s="9" t="str">
        <f t="shared" si="46"/>
        <v>o855</v>
      </c>
    </row>
    <row r="541" spans="1:24" x14ac:dyDescent="0.2">
      <c r="A541" s="9" t="s">
        <v>425</v>
      </c>
      <c r="B541" s="9">
        <v>1</v>
      </c>
      <c r="C541" s="22">
        <v>9</v>
      </c>
      <c r="D541" s="25"/>
      <c r="E541" s="23">
        <v>45229</v>
      </c>
      <c r="F541" s="23" t="s">
        <v>363</v>
      </c>
      <c r="G541" s="25" t="s">
        <v>56</v>
      </c>
      <c r="H541" s="24">
        <v>1</v>
      </c>
      <c r="I541" s="25" t="s">
        <v>232</v>
      </c>
      <c r="J541" s="32">
        <v>45228</v>
      </c>
      <c r="K541" s="24">
        <v>0.83</v>
      </c>
      <c r="L541" s="25">
        <f t="shared" si="47"/>
        <v>708</v>
      </c>
      <c r="M541" s="4">
        <f>IF(Table3[[#This Row],[Afrondingsdatum YB]]="N/A","-",Table3[[#This Row],[Afrondingsdatum YB]]-Table3[[#This Row],[StartDatum]])</f>
        <v>45228</v>
      </c>
      <c r="N541" s="4"/>
      <c r="O541">
        <f t="shared" si="44"/>
        <v>110</v>
      </c>
      <c r="P541">
        <f t="shared" si="48"/>
        <v>117</v>
      </c>
      <c r="Q541">
        <f t="shared" si="48"/>
        <v>112</v>
      </c>
      <c r="R541">
        <f t="shared" si="48"/>
        <v>101</v>
      </c>
      <c r="S541">
        <f t="shared" si="48"/>
        <v>108</v>
      </c>
      <c r="T541">
        <f t="shared" si="48"/>
        <v>46</v>
      </c>
      <c r="U541">
        <f t="shared" si="48"/>
        <v>114</v>
      </c>
      <c r="V541">
        <f t="shared" si="48"/>
        <v>117</v>
      </c>
      <c r="W541" s="5">
        <f t="shared" si="45"/>
        <v>915</v>
      </c>
      <c r="X541" s="9" t="str">
        <f t="shared" si="46"/>
        <v>u915</v>
      </c>
    </row>
    <row r="542" spans="1:24" x14ac:dyDescent="0.2">
      <c r="A542" s="9" t="s">
        <v>425</v>
      </c>
      <c r="B542" s="9">
        <v>1</v>
      </c>
      <c r="C542" s="22">
        <v>9</v>
      </c>
      <c r="D542" s="25"/>
      <c r="E542" s="18">
        <v>45229</v>
      </c>
      <c r="F542" s="18" t="s">
        <v>364</v>
      </c>
      <c r="G542" s="20" t="s">
        <v>57</v>
      </c>
      <c r="H542" s="19">
        <v>1</v>
      </c>
      <c r="I542" s="20" t="s">
        <v>233</v>
      </c>
      <c r="J542" s="34">
        <v>45228</v>
      </c>
      <c r="K542" s="19">
        <v>0.73</v>
      </c>
      <c r="L542" s="20">
        <f t="shared" si="47"/>
        <v>762</v>
      </c>
      <c r="M542" s="4">
        <f>IF(Table3[[#This Row],[Afrondingsdatum YB]]="N/A","-",Table3[[#This Row],[Afrondingsdatum YB]]-Table3[[#This Row],[StartDatum]])</f>
        <v>45228</v>
      </c>
      <c r="N542" s="4"/>
      <c r="O542">
        <f t="shared" si="44"/>
        <v>111</v>
      </c>
      <c r="P542">
        <f t="shared" si="48"/>
        <v>108</v>
      </c>
      <c r="Q542">
        <f t="shared" si="48"/>
        <v>105</v>
      </c>
      <c r="R542">
        <f t="shared" si="48"/>
        <v>118</v>
      </c>
      <c r="S542">
        <f t="shared" si="48"/>
        <v>105</v>
      </c>
      <c r="T542">
        <f t="shared" si="48"/>
        <v>101</v>
      </c>
      <c r="U542">
        <f t="shared" si="48"/>
        <v>114</v>
      </c>
      <c r="V542">
        <f t="shared" si="48"/>
        <v>46</v>
      </c>
      <c r="W542" s="5">
        <f t="shared" si="45"/>
        <v>876</v>
      </c>
      <c r="X542" s="9" t="str">
        <f t="shared" si="46"/>
        <v>l876</v>
      </c>
    </row>
    <row r="543" spans="1:24" x14ac:dyDescent="0.2">
      <c r="A543" s="9" t="s">
        <v>425</v>
      </c>
      <c r="B543" s="9">
        <v>1</v>
      </c>
      <c r="C543" s="22">
        <v>9</v>
      </c>
      <c r="D543" s="25"/>
      <c r="E543" s="23">
        <v>45229</v>
      </c>
      <c r="F543" s="23" t="s">
        <v>362</v>
      </c>
      <c r="G543" s="25" t="s">
        <v>58</v>
      </c>
      <c r="H543" s="24">
        <v>0.4</v>
      </c>
      <c r="I543" s="25" t="s">
        <v>215</v>
      </c>
      <c r="J543" s="25" t="s">
        <v>7</v>
      </c>
      <c r="K543" s="25" t="s">
        <v>9</v>
      </c>
      <c r="L543" s="25">
        <f t="shared" si="47"/>
        <v>681</v>
      </c>
      <c r="M543" s="4" t="str">
        <f>IF(Table3[[#This Row],[Afrondingsdatum YB]]="N/A","-",Table3[[#This Row],[Afrondingsdatum YB]]-Table3[[#This Row],[StartDatum]])</f>
        <v>-</v>
      </c>
      <c r="N543" s="4"/>
      <c r="O543">
        <f t="shared" si="44"/>
        <v>112</v>
      </c>
      <c r="P543">
        <f t="shared" si="48"/>
        <v>97</v>
      </c>
      <c r="Q543">
        <f t="shared" si="48"/>
        <v>117</v>
      </c>
      <c r="R543">
        <f t="shared" si="48"/>
        <v>108</v>
      </c>
      <c r="S543">
        <f t="shared" si="48"/>
        <v>46</v>
      </c>
      <c r="T543">
        <f t="shared" si="48"/>
        <v>100</v>
      </c>
      <c r="U543">
        <f t="shared" si="48"/>
        <v>101</v>
      </c>
      <c r="V543">
        <f t="shared" si="48"/>
        <v>46</v>
      </c>
      <c r="W543" s="5">
        <f t="shared" si="45"/>
        <v>832</v>
      </c>
      <c r="X543" s="9" t="str">
        <f t="shared" si="46"/>
        <v>a832</v>
      </c>
    </row>
    <row r="544" spans="1:24" x14ac:dyDescent="0.2">
      <c r="A544" s="9" t="s">
        <v>425</v>
      </c>
      <c r="B544" s="9">
        <v>1</v>
      </c>
      <c r="C544" s="22">
        <v>9</v>
      </c>
      <c r="D544" s="25"/>
      <c r="E544" s="18">
        <v>45229</v>
      </c>
      <c r="F544" s="18" t="s">
        <v>364</v>
      </c>
      <c r="G544" s="20" t="s">
        <v>59</v>
      </c>
      <c r="H544" s="19">
        <v>0.45</v>
      </c>
      <c r="I544" s="20" t="s">
        <v>70</v>
      </c>
      <c r="J544" s="20" t="s">
        <v>7</v>
      </c>
      <c r="K544" s="20" t="s">
        <v>9</v>
      </c>
      <c r="L544" s="20">
        <f t="shared" si="47"/>
        <v>695</v>
      </c>
      <c r="M544" s="4" t="str">
        <f>IF(Table3[[#This Row],[Afrondingsdatum YB]]="N/A","-",Table3[[#This Row],[Afrondingsdatum YB]]-Table3[[#This Row],[StartDatum]])</f>
        <v>-</v>
      </c>
      <c r="N544" s="4"/>
      <c r="O544">
        <f t="shared" si="44"/>
        <v>112</v>
      </c>
      <c r="P544">
        <f t="shared" si="48"/>
        <v>105</v>
      </c>
      <c r="Q544">
        <f t="shared" si="48"/>
        <v>101</v>
      </c>
      <c r="R544">
        <f t="shared" si="48"/>
        <v>116</v>
      </c>
      <c r="S544">
        <f t="shared" si="48"/>
        <v>101</v>
      </c>
      <c r="T544">
        <f t="shared" si="48"/>
        <v>114</v>
      </c>
      <c r="U544">
        <f t="shared" si="48"/>
        <v>46</v>
      </c>
      <c r="V544">
        <f t="shared" si="48"/>
        <v>109</v>
      </c>
      <c r="W544" s="5">
        <f t="shared" si="45"/>
        <v>867</v>
      </c>
      <c r="X544" s="9" t="str">
        <f t="shared" si="46"/>
        <v>i867</v>
      </c>
    </row>
    <row r="545" spans="1:24" x14ac:dyDescent="0.2">
      <c r="A545" s="9" t="s">
        <v>425</v>
      </c>
      <c r="B545" s="9">
        <v>1</v>
      </c>
      <c r="C545" s="22">
        <v>9</v>
      </c>
      <c r="D545" s="25"/>
      <c r="E545" s="23">
        <v>45229</v>
      </c>
      <c r="F545" s="23" t="s">
        <v>362</v>
      </c>
      <c r="G545" s="25" t="s">
        <v>60</v>
      </c>
      <c r="H545" s="24">
        <v>1</v>
      </c>
      <c r="I545" s="25" t="s">
        <v>72</v>
      </c>
      <c r="J545" s="32">
        <v>45222</v>
      </c>
      <c r="K545" s="24">
        <v>0.8</v>
      </c>
      <c r="L545" s="25">
        <f t="shared" si="47"/>
        <v>703</v>
      </c>
      <c r="M545" s="4">
        <f>IF(Table3[[#This Row],[Afrondingsdatum YB]]="N/A","-",Table3[[#This Row],[Afrondingsdatum YB]]-Table3[[#This Row],[StartDatum]])</f>
        <v>45222</v>
      </c>
      <c r="N545" s="4"/>
      <c r="O545">
        <f t="shared" si="44"/>
        <v>114</v>
      </c>
      <c r="P545">
        <f t="shared" si="48"/>
        <v>101</v>
      </c>
      <c r="Q545">
        <f t="shared" si="48"/>
        <v>110</v>
      </c>
      <c r="R545">
        <f t="shared" si="48"/>
        <v>115</v>
      </c>
      <c r="S545">
        <f t="shared" si="48"/>
        <v>46</v>
      </c>
      <c r="T545">
        <f t="shared" si="48"/>
        <v>103</v>
      </c>
      <c r="U545">
        <f t="shared" si="48"/>
        <v>114</v>
      </c>
      <c r="V545">
        <f t="shared" si="48"/>
        <v>111</v>
      </c>
      <c r="W545" s="5">
        <f t="shared" si="45"/>
        <v>897</v>
      </c>
      <c r="X545" s="9" t="str">
        <f t="shared" si="46"/>
        <v>e897</v>
      </c>
    </row>
    <row r="546" spans="1:24" x14ac:dyDescent="0.2">
      <c r="A546" s="9" t="s">
        <v>425</v>
      </c>
      <c r="B546" s="9">
        <v>1</v>
      </c>
      <c r="C546" s="22">
        <v>9</v>
      </c>
      <c r="D546" s="25"/>
      <c r="E546" s="18">
        <v>45229</v>
      </c>
      <c r="F546" s="18" t="s">
        <v>363</v>
      </c>
      <c r="G546" s="20" t="s">
        <v>61</v>
      </c>
      <c r="H546" s="19">
        <v>1</v>
      </c>
      <c r="I546" s="20" t="s">
        <v>86</v>
      </c>
      <c r="J546" s="34">
        <v>45228</v>
      </c>
      <c r="K546" s="19">
        <v>0.75</v>
      </c>
      <c r="L546" s="20">
        <f t="shared" si="47"/>
        <v>697</v>
      </c>
      <c r="M546" s="4">
        <f>IF(Table3[[#This Row],[Afrondingsdatum YB]]="N/A","-",Table3[[#This Row],[Afrondingsdatum YB]]-Table3[[#This Row],[StartDatum]])</f>
        <v>45228</v>
      </c>
      <c r="N546" s="4"/>
      <c r="O546">
        <f t="shared" si="44"/>
        <v>114</v>
      </c>
      <c r="P546">
        <f t="shared" si="48"/>
        <v>111</v>
      </c>
      <c r="Q546">
        <f t="shared" si="48"/>
        <v>119</v>
      </c>
      <c r="R546">
        <f t="shared" si="48"/>
        <v>97</v>
      </c>
      <c r="S546">
        <f t="shared" si="48"/>
        <v>110</v>
      </c>
      <c r="T546">
        <f t="shared" si="48"/>
        <v>46</v>
      </c>
      <c r="U546">
        <f t="shared" si="48"/>
        <v>100</v>
      </c>
      <c r="V546">
        <f t="shared" si="48"/>
        <v>101</v>
      </c>
      <c r="W546" s="5">
        <f t="shared" si="45"/>
        <v>908</v>
      </c>
      <c r="X546" s="9" t="str">
        <f t="shared" si="46"/>
        <v>o908</v>
      </c>
    </row>
    <row r="547" spans="1:24" x14ac:dyDescent="0.2">
      <c r="A547" s="9" t="s">
        <v>425</v>
      </c>
      <c r="B547" s="9">
        <v>1</v>
      </c>
      <c r="C547" s="22">
        <v>9</v>
      </c>
      <c r="D547" s="25"/>
      <c r="E547" s="23">
        <v>45229</v>
      </c>
      <c r="F547" s="23" t="s">
        <v>363</v>
      </c>
      <c r="G547" s="25" t="s">
        <v>84</v>
      </c>
      <c r="H547" s="24">
        <v>0.74</v>
      </c>
      <c r="I547" s="25" t="s">
        <v>195</v>
      </c>
      <c r="J547" s="25" t="s">
        <v>7</v>
      </c>
      <c r="K547" s="25" t="s">
        <v>9</v>
      </c>
      <c r="L547" s="25">
        <f t="shared" si="47"/>
        <v>683</v>
      </c>
      <c r="M547" s="4" t="str">
        <f>IF(Table3[[#This Row],[Afrondingsdatum YB]]="N/A","-",Table3[[#This Row],[Afrondingsdatum YB]]-Table3[[#This Row],[StartDatum]])</f>
        <v>-</v>
      </c>
      <c r="N547" s="4"/>
      <c r="O547">
        <f t="shared" ref="O547:O610" si="49">CODE(MID($G547,O$1,1))</f>
        <v>115</v>
      </c>
      <c r="P547">
        <f t="shared" si="48"/>
        <v>97</v>
      </c>
      <c r="Q547">
        <f t="shared" si="48"/>
        <v>110</v>
      </c>
      <c r="R547">
        <f t="shared" si="48"/>
        <v>100</v>
      </c>
      <c r="S547">
        <f t="shared" si="48"/>
        <v>101</v>
      </c>
      <c r="T547">
        <f t="shared" si="48"/>
        <v>114</v>
      </c>
      <c r="U547">
        <f t="shared" si="48"/>
        <v>46</v>
      </c>
      <c r="V547">
        <f t="shared" si="48"/>
        <v>98</v>
      </c>
      <c r="W547" s="5">
        <f t="shared" si="45"/>
        <v>878</v>
      </c>
      <c r="X547" s="9" t="str">
        <f t="shared" si="46"/>
        <v>a878</v>
      </c>
    </row>
    <row r="548" spans="1:24" x14ac:dyDescent="0.2">
      <c r="A548" s="9" t="s">
        <v>425</v>
      </c>
      <c r="B548" s="9">
        <v>1</v>
      </c>
      <c r="C548" s="22">
        <v>9</v>
      </c>
      <c r="D548" s="25"/>
      <c r="E548" s="18">
        <v>45229</v>
      </c>
      <c r="F548" s="18" t="s">
        <v>363</v>
      </c>
      <c r="G548" s="20" t="s">
        <v>62</v>
      </c>
      <c r="H548" s="19">
        <v>1</v>
      </c>
      <c r="I548" s="20" t="s">
        <v>162</v>
      </c>
      <c r="J548" s="34">
        <v>45202</v>
      </c>
      <c r="K548" s="19">
        <v>0.75</v>
      </c>
      <c r="L548" s="20">
        <f t="shared" si="47"/>
        <v>670</v>
      </c>
      <c r="M548" s="4">
        <f>IF(Table3[[#This Row],[Afrondingsdatum YB]]="N/A","-",Table3[[#This Row],[Afrondingsdatum YB]]-Table3[[#This Row],[StartDatum]])</f>
        <v>45202</v>
      </c>
      <c r="N548" s="4"/>
      <c r="O548">
        <f t="shared" si="49"/>
        <v>115</v>
      </c>
      <c r="P548">
        <f t="shared" si="48"/>
        <v>97</v>
      </c>
      <c r="Q548">
        <f t="shared" si="48"/>
        <v>114</v>
      </c>
      <c r="R548">
        <f t="shared" si="48"/>
        <v>97</v>
      </c>
      <c r="S548">
        <f t="shared" si="48"/>
        <v>46</v>
      </c>
      <c r="T548">
        <f t="shared" si="48"/>
        <v>100</v>
      </c>
      <c r="U548">
        <f t="shared" si="48"/>
        <v>101</v>
      </c>
      <c r="V548">
        <f t="shared" si="48"/>
        <v>46</v>
      </c>
      <c r="W548" s="5">
        <f t="shared" si="45"/>
        <v>823</v>
      </c>
      <c r="X548" s="9" t="str">
        <f t="shared" si="46"/>
        <v>a823</v>
      </c>
    </row>
    <row r="549" spans="1:24" x14ac:dyDescent="0.2">
      <c r="A549" s="9" t="s">
        <v>425</v>
      </c>
      <c r="B549" s="9">
        <v>1</v>
      </c>
      <c r="C549" s="22">
        <v>9</v>
      </c>
      <c r="D549" s="25"/>
      <c r="E549" s="23">
        <v>45229</v>
      </c>
      <c r="F549" s="23" t="s">
        <v>362</v>
      </c>
      <c r="G549" s="25" t="s">
        <v>131</v>
      </c>
      <c r="H549" s="24">
        <v>0.43</v>
      </c>
      <c r="I549" s="25" t="s">
        <v>206</v>
      </c>
      <c r="J549" s="25" t="s">
        <v>7</v>
      </c>
      <c r="K549" s="25" t="s">
        <v>9</v>
      </c>
      <c r="L549" s="25">
        <f t="shared" si="47"/>
        <v>675</v>
      </c>
      <c r="M549" s="4" t="str">
        <f>IF(Table3[[#This Row],[Afrondingsdatum YB]]="N/A","-",Table3[[#This Row],[Afrondingsdatum YB]]-Table3[[#This Row],[StartDatum]])</f>
        <v>-</v>
      </c>
      <c r="N549" s="4"/>
      <c r="O549">
        <f t="shared" si="49"/>
        <v>115</v>
      </c>
      <c r="P549">
        <f t="shared" si="48"/>
        <v>97</v>
      </c>
      <c r="Q549">
        <f t="shared" si="48"/>
        <v>114</v>
      </c>
      <c r="R549">
        <f t="shared" si="48"/>
        <v>97</v>
      </c>
      <c r="S549">
        <f t="shared" si="48"/>
        <v>104</v>
      </c>
      <c r="T549">
        <f t="shared" si="48"/>
        <v>46</v>
      </c>
      <c r="U549">
        <f t="shared" si="48"/>
        <v>102</v>
      </c>
      <c r="V549">
        <f t="shared" si="48"/>
        <v>97</v>
      </c>
      <c r="W549" s="5">
        <f t="shared" si="45"/>
        <v>879</v>
      </c>
      <c r="X549" s="9" t="str">
        <f t="shared" si="46"/>
        <v>a879</v>
      </c>
    </row>
    <row r="550" spans="1:24" x14ac:dyDescent="0.2">
      <c r="A550" s="9" t="s">
        <v>425</v>
      </c>
      <c r="B550" s="9">
        <v>1</v>
      </c>
      <c r="C550" s="22">
        <v>9</v>
      </c>
      <c r="D550" s="25"/>
      <c r="E550" s="18">
        <v>45229</v>
      </c>
      <c r="F550" s="18" t="s">
        <v>364</v>
      </c>
      <c r="G550" s="20" t="s">
        <v>108</v>
      </c>
      <c r="H550" s="19">
        <v>0.06</v>
      </c>
      <c r="I550" s="20" t="s">
        <v>96</v>
      </c>
      <c r="J550" s="20" t="s">
        <v>7</v>
      </c>
      <c r="K550" s="20" t="s">
        <v>9</v>
      </c>
      <c r="L550" s="20">
        <f t="shared" si="47"/>
        <v>760</v>
      </c>
      <c r="M550" s="4" t="str">
        <f>IF(Table3[[#This Row],[Afrondingsdatum YB]]="N/A","-",Table3[[#This Row],[Afrondingsdatum YB]]-Table3[[#This Row],[StartDatum]])</f>
        <v>-</v>
      </c>
      <c r="N550" s="4"/>
      <c r="O550">
        <f t="shared" si="49"/>
        <v>115</v>
      </c>
      <c r="P550">
        <f t="shared" si="48"/>
        <v>97</v>
      </c>
      <c r="Q550">
        <f t="shared" si="48"/>
        <v>118</v>
      </c>
      <c r="R550">
        <f t="shared" si="48"/>
        <v>101</v>
      </c>
      <c r="S550">
        <f t="shared" si="48"/>
        <v>114</v>
      </c>
      <c r="T550">
        <f t="shared" si="48"/>
        <v>105</v>
      </c>
      <c r="U550">
        <f t="shared" si="48"/>
        <v>110</v>
      </c>
      <c r="V550">
        <f t="shared" si="48"/>
        <v>105</v>
      </c>
      <c r="W550" s="5">
        <f t="shared" si="45"/>
        <v>977</v>
      </c>
      <c r="X550" s="9" t="str">
        <f t="shared" si="46"/>
        <v>a977</v>
      </c>
    </row>
    <row r="551" spans="1:24" x14ac:dyDescent="0.2">
      <c r="A551" s="9" t="s">
        <v>425</v>
      </c>
      <c r="B551" s="9">
        <v>1</v>
      </c>
      <c r="C551" s="22">
        <v>9</v>
      </c>
      <c r="D551" s="25"/>
      <c r="E551" s="23">
        <v>45229</v>
      </c>
      <c r="F551" s="23" t="s">
        <v>364</v>
      </c>
      <c r="G551" s="25" t="s">
        <v>109</v>
      </c>
      <c r="H551" s="24">
        <v>0.17</v>
      </c>
      <c r="I551" s="25" t="s">
        <v>234</v>
      </c>
      <c r="J551" s="25" t="s">
        <v>7</v>
      </c>
      <c r="K551" s="25" t="s">
        <v>9</v>
      </c>
      <c r="L551" s="25">
        <f t="shared" si="47"/>
        <v>696</v>
      </c>
      <c r="M551" s="4" t="str">
        <f>IF(Table3[[#This Row],[Afrondingsdatum YB]]="N/A","-",Table3[[#This Row],[Afrondingsdatum YB]]-Table3[[#This Row],[StartDatum]])</f>
        <v>-</v>
      </c>
      <c r="N551" s="4"/>
      <c r="O551">
        <f t="shared" si="49"/>
        <v>115</v>
      </c>
      <c r="P551">
        <f t="shared" si="48"/>
        <v>101</v>
      </c>
      <c r="Q551">
        <f t="shared" si="48"/>
        <v>109</v>
      </c>
      <c r="R551">
        <f t="shared" si="48"/>
        <v>46</v>
      </c>
      <c r="S551">
        <f t="shared" si="48"/>
        <v>118</v>
      </c>
      <c r="T551">
        <f t="shared" si="48"/>
        <v>97</v>
      </c>
      <c r="U551">
        <f t="shared" si="48"/>
        <v>110</v>
      </c>
      <c r="V551">
        <f t="shared" si="48"/>
        <v>46</v>
      </c>
      <c r="W551" s="5">
        <f t="shared" si="45"/>
        <v>875</v>
      </c>
      <c r="X551" s="9" t="str">
        <f t="shared" si="46"/>
        <v>e875</v>
      </c>
    </row>
    <row r="552" spans="1:24" x14ac:dyDescent="0.2">
      <c r="A552" s="9" t="s">
        <v>425</v>
      </c>
      <c r="B552" s="9">
        <v>1</v>
      </c>
      <c r="C552" s="22">
        <v>9</v>
      </c>
      <c r="D552" s="25"/>
      <c r="E552" s="18">
        <v>45229</v>
      </c>
      <c r="F552" s="18" t="s">
        <v>362</v>
      </c>
      <c r="G552" s="20" t="s">
        <v>63</v>
      </c>
      <c r="H552" s="19">
        <v>0</v>
      </c>
      <c r="I552" s="20" t="s">
        <v>76</v>
      </c>
      <c r="J552" s="20" t="s">
        <v>7</v>
      </c>
      <c r="K552" s="20" t="s">
        <v>9</v>
      </c>
      <c r="L552" s="20">
        <f t="shared" si="47"/>
        <v>673</v>
      </c>
      <c r="M552" s="4" t="str">
        <f>IF(Table3[[#This Row],[Afrondingsdatum YB]]="N/A","-",Table3[[#This Row],[Afrondingsdatum YB]]-Table3[[#This Row],[StartDatum]])</f>
        <v>-</v>
      </c>
      <c r="N552" s="4"/>
      <c r="O552">
        <f t="shared" si="49"/>
        <v>83</v>
      </c>
      <c r="P552">
        <f t="shared" si="48"/>
        <v>121</v>
      </c>
      <c r="Q552">
        <f t="shared" si="48"/>
        <v>98</v>
      </c>
      <c r="R552">
        <f t="shared" si="48"/>
        <v>114</v>
      </c>
      <c r="S552">
        <f t="shared" si="48"/>
        <v>101</v>
      </c>
      <c r="T552">
        <f t="shared" si="48"/>
        <v>110</v>
      </c>
      <c r="U552">
        <f t="shared" si="48"/>
        <v>46</v>
      </c>
      <c r="V552">
        <f t="shared" si="48"/>
        <v>104</v>
      </c>
      <c r="W552" s="5">
        <f t="shared" si="45"/>
        <v>827</v>
      </c>
      <c r="X552" s="9" t="str">
        <f t="shared" si="46"/>
        <v>y827</v>
      </c>
    </row>
    <row r="553" spans="1:24" x14ac:dyDescent="0.2">
      <c r="A553" s="9" t="s">
        <v>425</v>
      </c>
      <c r="B553" s="9">
        <v>1</v>
      </c>
      <c r="C553" s="22">
        <v>9</v>
      </c>
      <c r="D553" s="25"/>
      <c r="E553" s="23">
        <v>45229</v>
      </c>
      <c r="F553" s="23" t="s">
        <v>363</v>
      </c>
      <c r="G553" s="25" t="s">
        <v>64</v>
      </c>
      <c r="H553" s="24">
        <v>1</v>
      </c>
      <c r="I553" s="25" t="s">
        <v>159</v>
      </c>
      <c r="J553" s="32">
        <v>45226</v>
      </c>
      <c r="K553" s="24">
        <v>0.75</v>
      </c>
      <c r="L553" s="25">
        <f t="shared" si="47"/>
        <v>709</v>
      </c>
      <c r="M553" s="4">
        <f>IF(Table3[[#This Row],[Afrondingsdatum YB]]="N/A","-",Table3[[#This Row],[Afrondingsdatum YB]]-Table3[[#This Row],[StartDatum]])</f>
        <v>45226</v>
      </c>
      <c r="N553" s="4"/>
      <c r="O553">
        <f t="shared" si="49"/>
        <v>116</v>
      </c>
      <c r="P553">
        <f t="shared" si="48"/>
        <v>101</v>
      </c>
      <c r="Q553">
        <f t="shared" si="48"/>
        <v>117</v>
      </c>
      <c r="R553">
        <f t="shared" si="48"/>
        <v>110</v>
      </c>
      <c r="S553">
        <f t="shared" si="48"/>
        <v>46</v>
      </c>
      <c r="T553">
        <f t="shared" si="48"/>
        <v>114</v>
      </c>
      <c r="U553">
        <f t="shared" si="48"/>
        <v>105</v>
      </c>
      <c r="V553">
        <f t="shared" si="48"/>
        <v>110</v>
      </c>
      <c r="W553" s="5">
        <f t="shared" ref="W553:W616" si="50">ROUND((O553*O$1+P553/P$1+Q553*Q$1+R553/R$1)+SUM(S553:V553),0)</f>
        <v>920</v>
      </c>
      <c r="X553" s="9" t="str">
        <f t="shared" ref="X553:X616" si="51">MID(G553,2,1)&amp;TEXT(W553,"###")</f>
        <v>e920</v>
      </c>
    </row>
    <row r="554" spans="1:24" x14ac:dyDescent="0.2">
      <c r="A554" s="9" t="s">
        <v>425</v>
      </c>
      <c r="B554" s="9">
        <v>1</v>
      </c>
      <c r="C554" s="22">
        <v>9</v>
      </c>
      <c r="D554" s="25"/>
      <c r="E554" s="18">
        <v>45229</v>
      </c>
      <c r="F554" s="18" t="s">
        <v>362</v>
      </c>
      <c r="G554" s="20" t="s">
        <v>132</v>
      </c>
      <c r="H554" s="19">
        <v>0.28000000000000003</v>
      </c>
      <c r="I554" s="20" t="s">
        <v>180</v>
      </c>
      <c r="J554" s="20" t="s">
        <v>7</v>
      </c>
      <c r="K554" s="20" t="s">
        <v>9</v>
      </c>
      <c r="L554" s="20">
        <f t="shared" si="47"/>
        <v>697</v>
      </c>
      <c r="M554" s="4" t="str">
        <f>IF(Table3[[#This Row],[Afrondingsdatum YB]]="N/A","-",Table3[[#This Row],[Afrondingsdatum YB]]-Table3[[#This Row],[StartDatum]])</f>
        <v>-</v>
      </c>
      <c r="N554" s="4"/>
      <c r="O554">
        <f t="shared" si="49"/>
        <v>116</v>
      </c>
      <c r="P554">
        <f t="shared" si="48"/>
        <v>104</v>
      </c>
      <c r="Q554">
        <f t="shared" si="48"/>
        <v>105</v>
      </c>
      <c r="R554">
        <f t="shared" si="48"/>
        <v>114</v>
      </c>
      <c r="S554">
        <f t="shared" si="48"/>
        <v>115</v>
      </c>
      <c r="T554">
        <f t="shared" si="48"/>
        <v>97</v>
      </c>
      <c r="U554">
        <f t="shared" si="48"/>
        <v>46</v>
      </c>
      <c r="V554">
        <f t="shared" si="48"/>
        <v>108</v>
      </c>
      <c r="W554" s="5">
        <f t="shared" si="50"/>
        <v>878</v>
      </c>
      <c r="X554" s="9" t="str">
        <f t="shared" si="51"/>
        <v>h878</v>
      </c>
    </row>
    <row r="555" spans="1:24" x14ac:dyDescent="0.2">
      <c r="A555" s="9" t="s">
        <v>425</v>
      </c>
      <c r="B555" s="9">
        <v>1</v>
      </c>
      <c r="C555" s="22">
        <v>9</v>
      </c>
      <c r="D555" s="25"/>
      <c r="E555" s="23">
        <v>45229</v>
      </c>
      <c r="F555" s="23" t="s">
        <v>364</v>
      </c>
      <c r="G555" s="25" t="s">
        <v>133</v>
      </c>
      <c r="H555" s="24">
        <v>0.28000000000000003</v>
      </c>
      <c r="I555" s="25" t="s">
        <v>235</v>
      </c>
      <c r="J555" s="25" t="s">
        <v>7</v>
      </c>
      <c r="K555" s="25" t="s">
        <v>9</v>
      </c>
      <c r="L555" s="25">
        <f t="shared" si="47"/>
        <v>713</v>
      </c>
      <c r="M555" s="4" t="str">
        <f>IF(Table3[[#This Row],[Afrondingsdatum YB]]="N/A","-",Table3[[#This Row],[Afrondingsdatum YB]]-Table3[[#This Row],[StartDatum]])</f>
        <v>-</v>
      </c>
      <c r="N555" s="4"/>
      <c r="O555">
        <f t="shared" si="49"/>
        <v>116</v>
      </c>
      <c r="P555">
        <f t="shared" si="48"/>
        <v>121</v>
      </c>
      <c r="Q555">
        <f t="shared" si="48"/>
        <v>108</v>
      </c>
      <c r="R555">
        <f t="shared" si="48"/>
        <v>101</v>
      </c>
      <c r="S555">
        <f t="shared" si="48"/>
        <v>114</v>
      </c>
      <c r="T555">
        <f t="shared" si="48"/>
        <v>46</v>
      </c>
      <c r="U555">
        <f t="shared" ref="P555:V592" si="52">CODE(MID($G555,U$1,1))</f>
        <v>107</v>
      </c>
      <c r="V555">
        <f t="shared" si="52"/>
        <v>111</v>
      </c>
      <c r="W555" s="5">
        <f t="shared" si="50"/>
        <v>904</v>
      </c>
      <c r="X555" s="9" t="str">
        <f t="shared" si="51"/>
        <v>y904</v>
      </c>
    </row>
    <row r="556" spans="1:24" x14ac:dyDescent="0.2">
      <c r="A556" s="9" t="s">
        <v>425</v>
      </c>
      <c r="B556" s="9">
        <v>1</v>
      </c>
      <c r="C556" s="22">
        <v>9</v>
      </c>
      <c r="D556" s="25"/>
      <c r="E556" s="18">
        <v>45229</v>
      </c>
      <c r="F556" s="18" t="s">
        <v>364</v>
      </c>
      <c r="G556" s="20" t="s">
        <v>65</v>
      </c>
      <c r="H556" s="19">
        <v>0.73</v>
      </c>
      <c r="I556" s="20" t="s">
        <v>217</v>
      </c>
      <c r="J556" s="20" t="s">
        <v>7</v>
      </c>
      <c r="K556" s="20" t="s">
        <v>9</v>
      </c>
      <c r="L556" s="20">
        <f t="shared" si="47"/>
        <v>711</v>
      </c>
      <c r="M556" s="4" t="str">
        <f>IF(Table3[[#This Row],[Afrondingsdatum YB]]="N/A","-",Table3[[#This Row],[Afrondingsdatum YB]]-Table3[[#This Row],[StartDatum]])</f>
        <v>-</v>
      </c>
      <c r="N556" s="4"/>
      <c r="O556">
        <f t="shared" si="49"/>
        <v>119</v>
      </c>
      <c r="P556">
        <f t="shared" si="52"/>
        <v>101</v>
      </c>
      <c r="Q556">
        <f t="shared" si="52"/>
        <v>115</v>
      </c>
      <c r="R556">
        <f t="shared" si="52"/>
        <v>108</v>
      </c>
      <c r="S556">
        <f t="shared" si="52"/>
        <v>101</v>
      </c>
      <c r="T556">
        <f t="shared" si="52"/>
        <v>121</v>
      </c>
      <c r="U556">
        <f t="shared" si="52"/>
        <v>46</v>
      </c>
      <c r="V556">
        <f t="shared" si="52"/>
        <v>99</v>
      </c>
      <c r="W556" s="5">
        <f t="shared" si="50"/>
        <v>909</v>
      </c>
      <c r="X556" s="9" t="str">
        <f t="shared" si="51"/>
        <v>e909</v>
      </c>
    </row>
    <row r="557" spans="1:24" x14ac:dyDescent="0.2">
      <c r="A557" s="9" t="s">
        <v>425</v>
      </c>
      <c r="B557" s="9">
        <v>1</v>
      </c>
      <c r="C557" s="22">
        <v>9</v>
      </c>
      <c r="D557" s="25"/>
      <c r="E557" s="23">
        <v>45229</v>
      </c>
      <c r="F557" s="23" t="s">
        <v>364</v>
      </c>
      <c r="G557" s="25" t="s">
        <v>66</v>
      </c>
      <c r="H557" s="24">
        <v>0.17</v>
      </c>
      <c r="I557" s="25" t="s">
        <v>106</v>
      </c>
      <c r="J557" s="25" t="s">
        <v>7</v>
      </c>
      <c r="K557" s="25" t="s">
        <v>9</v>
      </c>
      <c r="L557" s="25">
        <f t="shared" si="47"/>
        <v>697</v>
      </c>
      <c r="M557" s="4" t="str">
        <f>IF(Table3[[#This Row],[Afrondingsdatum YB]]="N/A","-",Table3[[#This Row],[Afrondingsdatum YB]]-Table3[[#This Row],[StartDatum]])</f>
        <v>-</v>
      </c>
      <c r="N557" s="4"/>
      <c r="O557">
        <f t="shared" si="49"/>
        <v>121</v>
      </c>
      <c r="P557">
        <f t="shared" si="52"/>
        <v>97</v>
      </c>
      <c r="Q557">
        <f t="shared" si="52"/>
        <v>115</v>
      </c>
      <c r="R557">
        <f t="shared" si="52"/>
        <v>105</v>
      </c>
      <c r="S557">
        <f t="shared" si="52"/>
        <v>110</v>
      </c>
      <c r="T557">
        <f t="shared" si="52"/>
        <v>46</v>
      </c>
      <c r="U557">
        <f t="shared" si="52"/>
        <v>103</v>
      </c>
      <c r="V557">
        <f t="shared" si="52"/>
        <v>111</v>
      </c>
      <c r="W557" s="5">
        <f t="shared" si="50"/>
        <v>911</v>
      </c>
      <c r="X557" s="9" t="str">
        <f t="shared" si="51"/>
        <v>a911</v>
      </c>
    </row>
    <row r="558" spans="1:24" x14ac:dyDescent="0.2">
      <c r="A558" s="9" t="s">
        <v>425</v>
      </c>
      <c r="B558" s="9">
        <v>1</v>
      </c>
      <c r="C558" s="22">
        <v>9</v>
      </c>
      <c r="D558" s="25"/>
      <c r="E558" s="18">
        <v>45229</v>
      </c>
      <c r="F558" s="18" t="s">
        <v>364</v>
      </c>
      <c r="G558" s="20" t="s">
        <v>67</v>
      </c>
      <c r="H558" s="19">
        <v>1</v>
      </c>
      <c r="I558" s="20" t="s">
        <v>153</v>
      </c>
      <c r="J558" s="34">
        <v>45217</v>
      </c>
      <c r="K558" s="19">
        <v>0.73</v>
      </c>
      <c r="L558" s="20">
        <f t="shared" si="47"/>
        <v>764</v>
      </c>
      <c r="M558" s="4">
        <f>IF(Table3[[#This Row],[Afrondingsdatum YB]]="N/A","-",Table3[[#This Row],[Afrondingsdatum YB]]-Table3[[#This Row],[StartDatum]])</f>
        <v>45217</v>
      </c>
      <c r="N558" s="4"/>
      <c r="O558">
        <f t="shared" si="49"/>
        <v>121</v>
      </c>
      <c r="P558">
        <f t="shared" si="52"/>
        <v>97</v>
      </c>
      <c r="Q558">
        <f t="shared" si="52"/>
        <v>115</v>
      </c>
      <c r="R558">
        <f t="shared" si="52"/>
        <v>115</v>
      </c>
      <c r="S558">
        <f t="shared" si="52"/>
        <v>105</v>
      </c>
      <c r="T558">
        <f t="shared" si="52"/>
        <v>110</v>
      </c>
      <c r="U558">
        <f t="shared" si="52"/>
        <v>101</v>
      </c>
      <c r="V558">
        <f t="shared" si="52"/>
        <v>46</v>
      </c>
      <c r="W558" s="5">
        <f t="shared" si="50"/>
        <v>905</v>
      </c>
      <c r="X558" s="9" t="str">
        <f t="shared" si="51"/>
        <v>a905</v>
      </c>
    </row>
    <row r="559" spans="1:24" x14ac:dyDescent="0.2">
      <c r="A559" s="9" t="s">
        <v>425</v>
      </c>
      <c r="B559" s="9">
        <v>1</v>
      </c>
      <c r="C559" s="22">
        <v>9</v>
      </c>
      <c r="D559" s="25"/>
      <c r="E559" s="23">
        <v>45229</v>
      </c>
      <c r="F559" s="23" t="s">
        <v>363</v>
      </c>
      <c r="G559" s="25" t="s">
        <v>68</v>
      </c>
      <c r="H559" s="24">
        <v>0.99</v>
      </c>
      <c r="I559" s="25" t="s">
        <v>186</v>
      </c>
      <c r="J559" s="25" t="s">
        <v>7</v>
      </c>
      <c r="K559" s="25" t="s">
        <v>9</v>
      </c>
      <c r="L559" s="25">
        <f t="shared" si="47"/>
        <v>721</v>
      </c>
      <c r="M559" s="4" t="str">
        <f>IF(Table3[[#This Row],[Afrondingsdatum YB]]="N/A","-",Table3[[#This Row],[Afrondingsdatum YB]]-Table3[[#This Row],[StartDatum]])</f>
        <v>-</v>
      </c>
      <c r="N559" s="4"/>
      <c r="O559">
        <f t="shared" si="49"/>
        <v>121</v>
      </c>
      <c r="P559">
        <f t="shared" si="52"/>
        <v>111</v>
      </c>
      <c r="Q559">
        <f t="shared" si="52"/>
        <v>117</v>
      </c>
      <c r="R559">
        <f t="shared" si="52"/>
        <v>114</v>
      </c>
      <c r="S559">
        <f t="shared" si="52"/>
        <v>105</v>
      </c>
      <c r="T559">
        <f t="shared" si="52"/>
        <v>46</v>
      </c>
      <c r="U559">
        <f t="shared" si="52"/>
        <v>107</v>
      </c>
      <c r="V559">
        <f t="shared" si="52"/>
        <v>101</v>
      </c>
      <c r="W559" s="5">
        <f t="shared" si="50"/>
        <v>915</v>
      </c>
      <c r="X559" s="9" t="str">
        <f t="shared" si="51"/>
        <v>o915</v>
      </c>
    </row>
    <row r="560" spans="1:24" x14ac:dyDescent="0.2">
      <c r="A560" s="9" t="s">
        <v>425</v>
      </c>
      <c r="B560" s="9">
        <v>1</v>
      </c>
      <c r="C560" s="17">
        <v>10</v>
      </c>
      <c r="D560" s="20"/>
      <c r="E560" s="18">
        <v>45236</v>
      </c>
      <c r="F560" s="18" t="s">
        <v>363</v>
      </c>
      <c r="G560" s="20" t="s">
        <v>10</v>
      </c>
      <c r="H560" s="19">
        <v>1</v>
      </c>
      <c r="I560" s="20" t="s">
        <v>110</v>
      </c>
      <c r="J560" s="34">
        <v>45197</v>
      </c>
      <c r="K560" s="19">
        <v>0.98</v>
      </c>
      <c r="L560" s="20">
        <f t="shared" si="47"/>
        <v>662</v>
      </c>
      <c r="M560" s="4">
        <f>IF(Table3[[#This Row],[Afrondingsdatum YB]]="N/A","-",Table3[[#This Row],[Afrondingsdatum YB]]-Table3[[#This Row],[StartDatum]])</f>
        <v>45197</v>
      </c>
      <c r="N560" s="4"/>
      <c r="O560">
        <f t="shared" si="49"/>
        <v>97</v>
      </c>
      <c r="P560">
        <f t="shared" si="52"/>
        <v>100</v>
      </c>
      <c r="Q560">
        <f t="shared" si="52"/>
        <v>97</v>
      </c>
      <c r="R560">
        <f t="shared" si="52"/>
        <v>109</v>
      </c>
      <c r="S560">
        <f t="shared" si="52"/>
        <v>46</v>
      </c>
      <c r="T560">
        <f t="shared" si="52"/>
        <v>97</v>
      </c>
      <c r="U560">
        <f t="shared" si="52"/>
        <v>116</v>
      </c>
      <c r="V560">
        <f t="shared" si="52"/>
        <v>116</v>
      </c>
      <c r="W560" s="5">
        <f t="shared" si="50"/>
        <v>840</v>
      </c>
      <c r="X560" s="9" t="str">
        <f t="shared" si="51"/>
        <v>d840</v>
      </c>
    </row>
    <row r="561" spans="1:24" x14ac:dyDescent="0.2">
      <c r="A561" s="9" t="s">
        <v>425</v>
      </c>
      <c r="B561" s="9">
        <v>1</v>
      </c>
      <c r="C561" s="17">
        <v>10</v>
      </c>
      <c r="D561" s="20"/>
      <c r="E561" s="23">
        <v>45236</v>
      </c>
      <c r="F561" s="23" t="s">
        <v>362</v>
      </c>
      <c r="G561" s="25" t="s">
        <v>11</v>
      </c>
      <c r="H561" s="24">
        <v>0.03</v>
      </c>
      <c r="I561" s="25" t="s">
        <v>111</v>
      </c>
      <c r="J561" s="25" t="s">
        <v>7</v>
      </c>
      <c r="K561" s="25" t="s">
        <v>9</v>
      </c>
      <c r="L561" s="25">
        <f t="shared" si="47"/>
        <v>641</v>
      </c>
      <c r="M561" s="4" t="str">
        <f>IF(Table3[[#This Row],[Afrondingsdatum YB]]="N/A","-",Table3[[#This Row],[Afrondingsdatum YB]]-Table3[[#This Row],[StartDatum]])</f>
        <v>-</v>
      </c>
      <c r="N561" s="4"/>
      <c r="O561">
        <f t="shared" si="49"/>
        <v>65</v>
      </c>
      <c r="P561">
        <f t="shared" si="52"/>
        <v>100</v>
      </c>
      <c r="Q561">
        <f t="shared" si="52"/>
        <v>105</v>
      </c>
      <c r="R561">
        <f t="shared" si="52"/>
        <v>108</v>
      </c>
      <c r="S561">
        <f t="shared" si="52"/>
        <v>46</v>
      </c>
      <c r="T561">
        <f t="shared" si="52"/>
        <v>106</v>
      </c>
      <c r="U561">
        <f t="shared" si="52"/>
        <v>111</v>
      </c>
      <c r="V561">
        <f t="shared" si="52"/>
        <v>117</v>
      </c>
      <c r="W561" s="5">
        <f t="shared" si="50"/>
        <v>837</v>
      </c>
      <c r="X561" s="9" t="str">
        <f t="shared" si="51"/>
        <v>d837</v>
      </c>
    </row>
    <row r="562" spans="1:24" x14ac:dyDescent="0.2">
      <c r="A562" s="9" t="s">
        <v>425</v>
      </c>
      <c r="B562" s="9">
        <v>1</v>
      </c>
      <c r="C562" s="17">
        <v>10</v>
      </c>
      <c r="D562" s="20"/>
      <c r="E562" s="18">
        <v>45236</v>
      </c>
      <c r="F562" s="18" t="s">
        <v>364</v>
      </c>
      <c r="G562" s="20" t="s">
        <v>12</v>
      </c>
      <c r="H562" s="19">
        <v>1</v>
      </c>
      <c r="I562" s="20" t="s">
        <v>140</v>
      </c>
      <c r="J562" s="34">
        <v>45219</v>
      </c>
      <c r="K562" s="19">
        <v>0.73</v>
      </c>
      <c r="L562" s="20">
        <f t="shared" si="47"/>
        <v>677</v>
      </c>
      <c r="M562" s="4">
        <f>IF(Table3[[#This Row],[Afrondingsdatum YB]]="N/A","-",Table3[[#This Row],[Afrondingsdatum YB]]-Table3[[#This Row],[StartDatum]])</f>
        <v>45219</v>
      </c>
      <c r="N562" s="4"/>
      <c r="O562">
        <f t="shared" si="49"/>
        <v>97</v>
      </c>
      <c r="P562">
        <f t="shared" si="52"/>
        <v>103</v>
      </c>
      <c r="Q562">
        <f t="shared" si="52"/>
        <v>104</v>
      </c>
      <c r="R562">
        <f t="shared" si="52"/>
        <v>105</v>
      </c>
      <c r="S562">
        <f t="shared" si="52"/>
        <v>108</v>
      </c>
      <c r="T562">
        <f t="shared" si="52"/>
        <v>46</v>
      </c>
      <c r="U562">
        <f t="shared" si="52"/>
        <v>114</v>
      </c>
      <c r="V562">
        <f t="shared" si="52"/>
        <v>101</v>
      </c>
      <c r="W562" s="5">
        <f t="shared" si="50"/>
        <v>856</v>
      </c>
      <c r="X562" s="9" t="str">
        <f t="shared" si="51"/>
        <v>g856</v>
      </c>
    </row>
    <row r="563" spans="1:24" x14ac:dyDescent="0.2">
      <c r="A563" s="9" t="s">
        <v>425</v>
      </c>
      <c r="B563" s="9">
        <v>1</v>
      </c>
      <c r="C563" s="17">
        <v>10</v>
      </c>
      <c r="D563" s="20"/>
      <c r="E563" s="23">
        <v>45236</v>
      </c>
      <c r="F563" s="23" t="s">
        <v>362</v>
      </c>
      <c r="G563" s="25" t="s">
        <v>113</v>
      </c>
      <c r="H563" s="24">
        <v>0.28000000000000003</v>
      </c>
      <c r="I563" s="25" t="s">
        <v>219</v>
      </c>
      <c r="J563" s="25" t="s">
        <v>7</v>
      </c>
      <c r="K563" s="25" t="s">
        <v>9</v>
      </c>
      <c r="L563" s="25">
        <f t="shared" si="47"/>
        <v>670</v>
      </c>
      <c r="M563" s="4" t="str">
        <f>IF(Table3[[#This Row],[Afrondingsdatum YB]]="N/A","-",Table3[[#This Row],[Afrondingsdatum YB]]-Table3[[#This Row],[StartDatum]])</f>
        <v>-</v>
      </c>
      <c r="N563" s="4"/>
      <c r="O563">
        <f t="shared" si="49"/>
        <v>97</v>
      </c>
      <c r="P563">
        <f t="shared" si="52"/>
        <v>109</v>
      </c>
      <c r="Q563">
        <f t="shared" si="52"/>
        <v>105</v>
      </c>
      <c r="R563">
        <f t="shared" si="52"/>
        <v>110</v>
      </c>
      <c r="S563">
        <f t="shared" si="52"/>
        <v>46</v>
      </c>
      <c r="T563">
        <f t="shared" si="52"/>
        <v>99</v>
      </c>
      <c r="U563">
        <f t="shared" si="52"/>
        <v>104</v>
      </c>
      <c r="V563">
        <f t="shared" si="52"/>
        <v>101</v>
      </c>
      <c r="W563" s="5">
        <f t="shared" si="50"/>
        <v>844</v>
      </c>
      <c r="X563" s="9" t="str">
        <f t="shared" si="51"/>
        <v>m844</v>
      </c>
    </row>
    <row r="564" spans="1:24" x14ac:dyDescent="0.2">
      <c r="A564" s="9" t="s">
        <v>425</v>
      </c>
      <c r="B564" s="9">
        <v>1</v>
      </c>
      <c r="C564" s="17">
        <v>10</v>
      </c>
      <c r="D564" s="20"/>
      <c r="E564" s="18">
        <v>45236</v>
      </c>
      <c r="F564" s="18" t="s">
        <v>364</v>
      </c>
      <c r="G564" s="20" t="s">
        <v>13</v>
      </c>
      <c r="H564" s="19">
        <v>1</v>
      </c>
      <c r="I564" s="20" t="s">
        <v>97</v>
      </c>
      <c r="J564" s="20" t="s">
        <v>7</v>
      </c>
      <c r="K564" s="20" t="s">
        <v>236</v>
      </c>
      <c r="L564" s="20">
        <f t="shared" si="47"/>
        <v>669</v>
      </c>
      <c r="M564" s="4" t="str">
        <f>IF(Table3[[#This Row],[Afrondingsdatum YB]]="N/A","-",Table3[[#This Row],[Afrondingsdatum YB]]-Table3[[#This Row],[StartDatum]])</f>
        <v>-</v>
      </c>
      <c r="N564" s="4"/>
      <c r="O564">
        <f t="shared" si="49"/>
        <v>97</v>
      </c>
      <c r="P564">
        <f t="shared" si="52"/>
        <v>109</v>
      </c>
      <c r="Q564">
        <f t="shared" si="52"/>
        <v>105</v>
      </c>
      <c r="R564">
        <f t="shared" si="52"/>
        <v>110</v>
      </c>
      <c r="S564">
        <f t="shared" si="52"/>
        <v>101</v>
      </c>
      <c r="T564">
        <f t="shared" si="52"/>
        <v>46</v>
      </c>
      <c r="U564">
        <f t="shared" si="52"/>
        <v>101</v>
      </c>
      <c r="V564">
        <f t="shared" si="52"/>
        <v>108</v>
      </c>
      <c r="W564" s="5">
        <f t="shared" si="50"/>
        <v>850</v>
      </c>
      <c r="X564" s="9" t="str">
        <f t="shared" si="51"/>
        <v>m850</v>
      </c>
    </row>
    <row r="565" spans="1:24" x14ac:dyDescent="0.2">
      <c r="A565" s="9" t="s">
        <v>425</v>
      </c>
      <c r="B565" s="9">
        <v>1</v>
      </c>
      <c r="C565" s="17">
        <v>10</v>
      </c>
      <c r="D565" s="20"/>
      <c r="E565" s="23">
        <v>45236</v>
      </c>
      <c r="F565" s="23" t="s">
        <v>363</v>
      </c>
      <c r="G565" s="25" t="s">
        <v>14</v>
      </c>
      <c r="H565" s="24">
        <v>0.68</v>
      </c>
      <c r="I565" s="25" t="s">
        <v>166</v>
      </c>
      <c r="J565" s="25" t="s">
        <v>7</v>
      </c>
      <c r="K565" s="25" t="s">
        <v>9</v>
      </c>
      <c r="L565" s="25">
        <f t="shared" si="47"/>
        <v>676</v>
      </c>
      <c r="M565" s="4" t="str">
        <f>IF(Table3[[#This Row],[Afrondingsdatum YB]]="N/A","-",Table3[[#This Row],[Afrondingsdatum YB]]-Table3[[#This Row],[StartDatum]])</f>
        <v>-</v>
      </c>
      <c r="N565" s="4"/>
      <c r="O565">
        <f t="shared" si="49"/>
        <v>97</v>
      </c>
      <c r="P565">
        <f t="shared" si="52"/>
        <v>110</v>
      </c>
      <c r="Q565">
        <f t="shared" si="52"/>
        <v>103</v>
      </c>
      <c r="R565">
        <f t="shared" si="52"/>
        <v>101</v>
      </c>
      <c r="S565">
        <f t="shared" si="52"/>
        <v>108</v>
      </c>
      <c r="T565">
        <f t="shared" si="52"/>
        <v>111</v>
      </c>
      <c r="U565">
        <f t="shared" si="52"/>
        <v>46</v>
      </c>
      <c r="V565">
        <f t="shared" si="52"/>
        <v>115</v>
      </c>
      <c r="W565" s="5">
        <f t="shared" si="50"/>
        <v>866</v>
      </c>
      <c r="X565" s="9" t="str">
        <f t="shared" si="51"/>
        <v>n866</v>
      </c>
    </row>
    <row r="566" spans="1:24" x14ac:dyDescent="0.2">
      <c r="A566" s="9" t="s">
        <v>425</v>
      </c>
      <c r="B566" s="9">
        <v>1</v>
      </c>
      <c r="C566" s="17">
        <v>10</v>
      </c>
      <c r="D566" s="20"/>
      <c r="E566" s="18">
        <v>45236</v>
      </c>
      <c r="F566" s="18" t="s">
        <v>362</v>
      </c>
      <c r="G566" s="20" t="s">
        <v>15</v>
      </c>
      <c r="H566" s="19">
        <v>0.99</v>
      </c>
      <c r="I566" s="20" t="s">
        <v>237</v>
      </c>
      <c r="J566" s="20" t="s">
        <v>7</v>
      </c>
      <c r="K566" s="20" t="s">
        <v>9</v>
      </c>
      <c r="L566" s="20">
        <f t="shared" si="47"/>
        <v>755</v>
      </c>
      <c r="M566" s="4" t="str">
        <f>IF(Table3[[#This Row],[Afrondingsdatum YB]]="N/A","-",Table3[[#This Row],[Afrondingsdatum YB]]-Table3[[#This Row],[StartDatum]])</f>
        <v>-</v>
      </c>
      <c r="N566" s="4"/>
      <c r="O566">
        <f t="shared" si="49"/>
        <v>97</v>
      </c>
      <c r="P566">
        <f t="shared" si="52"/>
        <v>115</v>
      </c>
      <c r="Q566">
        <f t="shared" si="52"/>
        <v>104</v>
      </c>
      <c r="R566">
        <f t="shared" si="52"/>
        <v>111</v>
      </c>
      <c r="S566">
        <f t="shared" si="52"/>
        <v>101</v>
      </c>
      <c r="T566">
        <f t="shared" si="52"/>
        <v>116</v>
      </c>
      <c r="U566">
        <f t="shared" si="52"/>
        <v>111</v>
      </c>
      <c r="V566">
        <f t="shared" si="52"/>
        <v>115</v>
      </c>
      <c r="W566" s="5">
        <f t="shared" si="50"/>
        <v>937</v>
      </c>
      <c r="X566" s="9" t="str">
        <f t="shared" si="51"/>
        <v>s937</v>
      </c>
    </row>
    <row r="567" spans="1:24" x14ac:dyDescent="0.2">
      <c r="A567" s="9" t="s">
        <v>425</v>
      </c>
      <c r="B567" s="9">
        <v>1</v>
      </c>
      <c r="C567" s="17">
        <v>10</v>
      </c>
      <c r="D567" s="20"/>
      <c r="E567" s="23">
        <v>45236</v>
      </c>
      <c r="F567" s="23" t="s">
        <v>364</v>
      </c>
      <c r="G567" s="25" t="s">
        <v>16</v>
      </c>
      <c r="H567" s="24">
        <v>0.98</v>
      </c>
      <c r="I567" s="25" t="s">
        <v>141</v>
      </c>
      <c r="J567" s="25" t="s">
        <v>7</v>
      </c>
      <c r="K567" s="25" t="s">
        <v>9</v>
      </c>
      <c r="L567" s="25">
        <f t="shared" si="47"/>
        <v>672</v>
      </c>
      <c r="M567" s="4" t="str">
        <f>IF(Table3[[#This Row],[Afrondingsdatum YB]]="N/A","-",Table3[[#This Row],[Afrondingsdatum YB]]-Table3[[#This Row],[StartDatum]])</f>
        <v>-</v>
      </c>
      <c r="N567" s="4"/>
      <c r="O567">
        <f t="shared" si="49"/>
        <v>97</v>
      </c>
      <c r="P567">
        <f t="shared" si="52"/>
        <v>121</v>
      </c>
      <c r="Q567">
        <f t="shared" si="52"/>
        <v>100</v>
      </c>
      <c r="R567">
        <f t="shared" si="52"/>
        <v>101</v>
      </c>
      <c r="S567">
        <f t="shared" si="52"/>
        <v>110</v>
      </c>
      <c r="T567">
        <f t="shared" si="52"/>
        <v>46</v>
      </c>
      <c r="U567">
        <f t="shared" si="52"/>
        <v>97</v>
      </c>
      <c r="V567">
        <f t="shared" si="52"/>
        <v>110</v>
      </c>
      <c r="W567" s="5">
        <f t="shared" si="50"/>
        <v>846</v>
      </c>
      <c r="X567" s="9" t="str">
        <f t="shared" si="51"/>
        <v>y846</v>
      </c>
    </row>
    <row r="568" spans="1:24" x14ac:dyDescent="0.2">
      <c r="A568" s="9" t="s">
        <v>425</v>
      </c>
      <c r="B568" s="9">
        <v>1</v>
      </c>
      <c r="C568" s="17">
        <v>10</v>
      </c>
      <c r="D568" s="20"/>
      <c r="E568" s="18">
        <v>45236</v>
      </c>
      <c r="F568" s="18" t="s">
        <v>362</v>
      </c>
      <c r="G568" s="20" t="s">
        <v>17</v>
      </c>
      <c r="H568" s="19">
        <v>7.0000000000000007E-2</v>
      </c>
      <c r="I568" s="20" t="s">
        <v>168</v>
      </c>
      <c r="J568" s="20" t="s">
        <v>7</v>
      </c>
      <c r="K568" s="20" t="s">
        <v>9</v>
      </c>
      <c r="L568" s="20">
        <f t="shared" si="47"/>
        <v>707</v>
      </c>
      <c r="M568" s="4" t="str">
        <f>IF(Table3[[#This Row],[Afrondingsdatum YB]]="N/A","-",Table3[[#This Row],[Afrondingsdatum YB]]-Table3[[#This Row],[StartDatum]])</f>
        <v>-</v>
      </c>
      <c r="N568" s="4"/>
      <c r="O568">
        <f t="shared" si="49"/>
        <v>98</v>
      </c>
      <c r="P568">
        <f t="shared" si="52"/>
        <v>101</v>
      </c>
      <c r="Q568">
        <f t="shared" si="52"/>
        <v>116</v>
      </c>
      <c r="R568">
        <f t="shared" si="52"/>
        <v>117</v>
      </c>
      <c r="S568">
        <f t="shared" si="52"/>
        <v>108</v>
      </c>
      <c r="T568">
        <f t="shared" si="52"/>
        <v>46</v>
      </c>
      <c r="U568">
        <f t="shared" si="52"/>
        <v>121</v>
      </c>
      <c r="V568">
        <f t="shared" si="52"/>
        <v>117</v>
      </c>
      <c r="W568" s="5">
        <f t="shared" si="50"/>
        <v>918</v>
      </c>
      <c r="X568" s="9" t="str">
        <f t="shared" si="51"/>
        <v>e918</v>
      </c>
    </row>
    <row r="569" spans="1:24" x14ac:dyDescent="0.2">
      <c r="A569" s="9" t="s">
        <v>425</v>
      </c>
      <c r="B569" s="9">
        <v>1</v>
      </c>
      <c r="C569" s="17">
        <v>10</v>
      </c>
      <c r="D569" s="20"/>
      <c r="E569" s="23">
        <v>45236</v>
      </c>
      <c r="F569" s="23" t="s">
        <v>364</v>
      </c>
      <c r="G569" s="25" t="s">
        <v>115</v>
      </c>
      <c r="H569" s="24">
        <v>0.93</v>
      </c>
      <c r="I569" s="25" t="s">
        <v>196</v>
      </c>
      <c r="J569" s="25" t="s">
        <v>7</v>
      </c>
      <c r="K569" s="25" t="s">
        <v>9</v>
      </c>
      <c r="L569" s="25">
        <f t="shared" si="47"/>
        <v>748</v>
      </c>
      <c r="M569" s="4" t="str">
        <f>IF(Table3[[#This Row],[Afrondingsdatum YB]]="N/A","-",Table3[[#This Row],[Afrondingsdatum YB]]-Table3[[#This Row],[StartDatum]])</f>
        <v>-</v>
      </c>
      <c r="N569" s="4"/>
      <c r="O569">
        <f t="shared" si="49"/>
        <v>98</v>
      </c>
      <c r="P569">
        <f t="shared" si="52"/>
        <v>106</v>
      </c>
      <c r="Q569">
        <f t="shared" si="52"/>
        <v>111</v>
      </c>
      <c r="R569">
        <f t="shared" si="52"/>
        <v>114</v>
      </c>
      <c r="S569">
        <f t="shared" si="52"/>
        <v>110</v>
      </c>
      <c r="T569">
        <f t="shared" si="52"/>
        <v>108</v>
      </c>
      <c r="U569">
        <f t="shared" si="52"/>
        <v>101</v>
      </c>
      <c r="V569">
        <f t="shared" si="52"/>
        <v>118</v>
      </c>
      <c r="W569" s="5">
        <f t="shared" si="50"/>
        <v>950</v>
      </c>
      <c r="X569" s="9" t="str">
        <f t="shared" si="51"/>
        <v>j950</v>
      </c>
    </row>
    <row r="570" spans="1:24" x14ac:dyDescent="0.2">
      <c r="A570" s="9" t="s">
        <v>425</v>
      </c>
      <c r="B570" s="9">
        <v>1</v>
      </c>
      <c r="C570" s="17">
        <v>10</v>
      </c>
      <c r="D570" s="20"/>
      <c r="E570" s="18">
        <v>45236</v>
      </c>
      <c r="F570" s="18" t="s">
        <v>363</v>
      </c>
      <c r="G570" s="20" t="s">
        <v>18</v>
      </c>
      <c r="H570" s="19">
        <v>1</v>
      </c>
      <c r="I570" s="20" t="s">
        <v>202</v>
      </c>
      <c r="J570" s="34">
        <v>45227</v>
      </c>
      <c r="K570" s="19">
        <v>0.73</v>
      </c>
      <c r="L570" s="20">
        <f t="shared" si="47"/>
        <v>687</v>
      </c>
      <c r="M570" s="4">
        <f>IF(Table3[[#This Row],[Afrondingsdatum YB]]="N/A","-",Table3[[#This Row],[Afrondingsdatum YB]]-Table3[[#This Row],[StartDatum]])</f>
        <v>45227</v>
      </c>
      <c r="N570" s="4"/>
      <c r="O570">
        <f t="shared" si="49"/>
        <v>98</v>
      </c>
      <c r="P570">
        <f t="shared" si="52"/>
        <v>114</v>
      </c>
      <c r="Q570">
        <f t="shared" si="52"/>
        <v>101</v>
      </c>
      <c r="R570">
        <f t="shared" si="52"/>
        <v>116</v>
      </c>
      <c r="S570">
        <f t="shared" si="52"/>
        <v>104</v>
      </c>
      <c r="T570">
        <f t="shared" si="52"/>
        <v>46</v>
      </c>
      <c r="U570">
        <f t="shared" si="52"/>
        <v>108</v>
      </c>
      <c r="V570">
        <f t="shared" si="52"/>
        <v>97</v>
      </c>
      <c r="W570" s="5">
        <f t="shared" si="50"/>
        <v>842</v>
      </c>
      <c r="X570" s="9" t="str">
        <f t="shared" si="51"/>
        <v>r842</v>
      </c>
    </row>
    <row r="571" spans="1:24" x14ac:dyDescent="0.2">
      <c r="A571" s="9" t="s">
        <v>425</v>
      </c>
      <c r="B571" s="9">
        <v>1</v>
      </c>
      <c r="C571" s="17">
        <v>10</v>
      </c>
      <c r="D571" s="20"/>
      <c r="E571" s="23">
        <v>45236</v>
      </c>
      <c r="F571" s="23" t="s">
        <v>364</v>
      </c>
      <c r="G571" s="25" t="s">
        <v>19</v>
      </c>
      <c r="H571" s="24">
        <v>1</v>
      </c>
      <c r="I571" s="25" t="s">
        <v>170</v>
      </c>
      <c r="J571" s="32">
        <v>45212</v>
      </c>
      <c r="K571" s="24">
        <v>0.83</v>
      </c>
      <c r="L571" s="25">
        <f t="shared" si="47"/>
        <v>733</v>
      </c>
      <c r="M571" s="4">
        <f>IF(Table3[[#This Row],[Afrondingsdatum YB]]="N/A","-",Table3[[#This Row],[Afrondingsdatum YB]]-Table3[[#This Row],[StartDatum]])</f>
        <v>45212</v>
      </c>
      <c r="N571" s="4"/>
      <c r="O571">
        <f t="shared" si="49"/>
        <v>99</v>
      </c>
      <c r="P571">
        <f t="shared" si="52"/>
        <v>104</v>
      </c>
      <c r="Q571">
        <f t="shared" si="52"/>
        <v>97</v>
      </c>
      <c r="R571">
        <f t="shared" si="52"/>
        <v>114</v>
      </c>
      <c r="S571">
        <f t="shared" si="52"/>
        <v>108</v>
      </c>
      <c r="T571">
        <f t="shared" si="52"/>
        <v>101</v>
      </c>
      <c r="U571">
        <f t="shared" si="52"/>
        <v>110</v>
      </c>
      <c r="V571">
        <f t="shared" si="52"/>
        <v>101</v>
      </c>
      <c r="W571" s="5">
        <f t="shared" si="50"/>
        <v>891</v>
      </c>
      <c r="X571" s="9" t="str">
        <f t="shared" si="51"/>
        <v>h891</v>
      </c>
    </row>
    <row r="572" spans="1:24" x14ac:dyDescent="0.2">
      <c r="A572" s="9" t="s">
        <v>425</v>
      </c>
      <c r="B572" s="9">
        <v>1</v>
      </c>
      <c r="C572" s="17">
        <v>10</v>
      </c>
      <c r="D572" s="20"/>
      <c r="E572" s="18">
        <v>45236</v>
      </c>
      <c r="F572" s="18" t="s">
        <v>364</v>
      </c>
      <c r="G572" s="20" t="s">
        <v>20</v>
      </c>
      <c r="H572" s="19">
        <v>1</v>
      </c>
      <c r="I572" s="20" t="s">
        <v>171</v>
      </c>
      <c r="J572" s="34">
        <v>45209</v>
      </c>
      <c r="K572" s="19">
        <v>0.83</v>
      </c>
      <c r="L572" s="20">
        <f t="shared" si="47"/>
        <v>668</v>
      </c>
      <c r="M572" s="4">
        <f>IF(Table3[[#This Row],[Afrondingsdatum YB]]="N/A","-",Table3[[#This Row],[Afrondingsdatum YB]]-Table3[[#This Row],[StartDatum]])</f>
        <v>45209</v>
      </c>
      <c r="N572" s="4"/>
      <c r="O572">
        <f t="shared" si="49"/>
        <v>99</v>
      </c>
      <c r="P572">
        <f t="shared" si="52"/>
        <v>104</v>
      </c>
      <c r="Q572">
        <f t="shared" si="52"/>
        <v>101</v>
      </c>
      <c r="R572">
        <f t="shared" si="52"/>
        <v>110</v>
      </c>
      <c r="S572">
        <f t="shared" si="52"/>
        <v>111</v>
      </c>
      <c r="T572">
        <f t="shared" si="52"/>
        <v>97</v>
      </c>
      <c r="U572">
        <f t="shared" si="52"/>
        <v>46</v>
      </c>
      <c r="V572">
        <f t="shared" si="52"/>
        <v>118</v>
      </c>
      <c r="W572" s="5">
        <f t="shared" si="50"/>
        <v>854</v>
      </c>
      <c r="X572" s="9" t="str">
        <f t="shared" si="51"/>
        <v>h854</v>
      </c>
    </row>
    <row r="573" spans="1:24" x14ac:dyDescent="0.2">
      <c r="A573" s="9" t="s">
        <v>425</v>
      </c>
      <c r="B573" s="9">
        <v>1</v>
      </c>
      <c r="C573" s="17">
        <v>10</v>
      </c>
      <c r="D573" s="20"/>
      <c r="E573" s="23">
        <v>45236</v>
      </c>
      <c r="F573" s="23" t="s">
        <v>364</v>
      </c>
      <c r="G573" s="25" t="s">
        <v>21</v>
      </c>
      <c r="H573" s="24">
        <v>0.98</v>
      </c>
      <c r="I573" s="25" t="s">
        <v>238</v>
      </c>
      <c r="J573" s="25" t="s">
        <v>7</v>
      </c>
      <c r="K573" s="25" t="s">
        <v>9</v>
      </c>
      <c r="L573" s="25">
        <f t="shared" si="47"/>
        <v>681</v>
      </c>
      <c r="M573" s="4" t="str">
        <f>IF(Table3[[#This Row],[Afrondingsdatum YB]]="N/A","-",Table3[[#This Row],[Afrondingsdatum YB]]-Table3[[#This Row],[StartDatum]])</f>
        <v>-</v>
      </c>
      <c r="N573" s="4"/>
      <c r="O573">
        <f t="shared" si="49"/>
        <v>100</v>
      </c>
      <c r="P573">
        <f t="shared" si="52"/>
        <v>97</v>
      </c>
      <c r="Q573">
        <f t="shared" si="52"/>
        <v>115</v>
      </c>
      <c r="R573">
        <f t="shared" si="52"/>
        <v>116</v>
      </c>
      <c r="S573">
        <f t="shared" si="52"/>
        <v>97</v>
      </c>
      <c r="T573">
        <f t="shared" si="52"/>
        <v>110</v>
      </c>
      <c r="U573">
        <f t="shared" si="52"/>
        <v>46</v>
      </c>
      <c r="V573">
        <f t="shared" si="52"/>
        <v>109</v>
      </c>
      <c r="W573" s="5">
        <f t="shared" si="50"/>
        <v>885</v>
      </c>
      <c r="X573" s="9" t="str">
        <f t="shared" si="51"/>
        <v>a885</v>
      </c>
    </row>
    <row r="574" spans="1:24" x14ac:dyDescent="0.2">
      <c r="A574" s="9" t="s">
        <v>425</v>
      </c>
      <c r="B574" s="9">
        <v>1</v>
      </c>
      <c r="C574" s="17">
        <v>10</v>
      </c>
      <c r="D574" s="20"/>
      <c r="E574" s="18">
        <v>45236</v>
      </c>
      <c r="F574" s="18" t="s">
        <v>363</v>
      </c>
      <c r="G574" s="20" t="s">
        <v>22</v>
      </c>
      <c r="H574" s="19">
        <v>1</v>
      </c>
      <c r="I574" s="20" t="s">
        <v>221</v>
      </c>
      <c r="J574" s="34">
        <v>45225</v>
      </c>
      <c r="K574" s="19">
        <v>0.7</v>
      </c>
      <c r="L574" s="20">
        <f t="shared" si="47"/>
        <v>676</v>
      </c>
      <c r="M574" s="4">
        <f>IF(Table3[[#This Row],[Afrondingsdatum YB]]="N/A","-",Table3[[#This Row],[Afrondingsdatum YB]]-Table3[[#This Row],[StartDatum]])</f>
        <v>45225</v>
      </c>
      <c r="N574" s="4"/>
      <c r="O574">
        <f t="shared" si="49"/>
        <v>100</v>
      </c>
      <c r="P574">
        <f t="shared" si="52"/>
        <v>101</v>
      </c>
      <c r="Q574">
        <f t="shared" si="52"/>
        <v>109</v>
      </c>
      <c r="R574">
        <f t="shared" si="52"/>
        <v>105</v>
      </c>
      <c r="S574">
        <f t="shared" si="52"/>
        <v>46</v>
      </c>
      <c r="T574">
        <f t="shared" si="52"/>
        <v>118</v>
      </c>
      <c r="U574">
        <f t="shared" si="52"/>
        <v>97</v>
      </c>
      <c r="V574">
        <f t="shared" si="52"/>
        <v>110</v>
      </c>
      <c r="W574" s="5">
        <f t="shared" si="50"/>
        <v>875</v>
      </c>
      <c r="X574" s="9" t="str">
        <f t="shared" si="51"/>
        <v>e875</v>
      </c>
    </row>
    <row r="575" spans="1:24" x14ac:dyDescent="0.2">
      <c r="A575" s="9" t="s">
        <v>425</v>
      </c>
      <c r="B575" s="9">
        <v>1</v>
      </c>
      <c r="C575" s="17">
        <v>10</v>
      </c>
      <c r="D575" s="20"/>
      <c r="E575" s="23">
        <v>45236</v>
      </c>
      <c r="F575" s="23" t="s">
        <v>363</v>
      </c>
      <c r="G575" s="25" t="s">
        <v>23</v>
      </c>
      <c r="H575" s="24">
        <v>0.97</v>
      </c>
      <c r="I575" s="25" t="s">
        <v>227</v>
      </c>
      <c r="J575" s="25" t="s">
        <v>7</v>
      </c>
      <c r="K575" s="25" t="s">
        <v>9</v>
      </c>
      <c r="L575" s="25">
        <f t="shared" si="47"/>
        <v>681</v>
      </c>
      <c r="M575" s="4" t="str">
        <f>IF(Table3[[#This Row],[Afrondingsdatum YB]]="N/A","-",Table3[[#This Row],[Afrondingsdatum YB]]-Table3[[#This Row],[StartDatum]])</f>
        <v>-</v>
      </c>
      <c r="N575" s="4"/>
      <c r="O575">
        <f t="shared" si="49"/>
        <v>101</v>
      </c>
      <c r="P575">
        <f t="shared" si="52"/>
        <v>108</v>
      </c>
      <c r="Q575">
        <f t="shared" si="52"/>
        <v>105</v>
      </c>
      <c r="R575">
        <f t="shared" si="52"/>
        <v>122</v>
      </c>
      <c r="S575">
        <f t="shared" si="52"/>
        <v>101</v>
      </c>
      <c r="T575">
        <f t="shared" si="52"/>
        <v>46</v>
      </c>
      <c r="U575">
        <f t="shared" si="52"/>
        <v>98</v>
      </c>
      <c r="V575">
        <f t="shared" si="52"/>
        <v>97</v>
      </c>
      <c r="W575" s="5">
        <f t="shared" si="50"/>
        <v>843</v>
      </c>
      <c r="X575" s="9" t="str">
        <f t="shared" si="51"/>
        <v>l843</v>
      </c>
    </row>
    <row r="576" spans="1:24" x14ac:dyDescent="0.2">
      <c r="A576" s="9" t="s">
        <v>425</v>
      </c>
      <c r="B576" s="9">
        <v>1</v>
      </c>
      <c r="C576" s="17">
        <v>10</v>
      </c>
      <c r="D576" s="20"/>
      <c r="E576" s="18">
        <v>45236</v>
      </c>
      <c r="F576" s="18" t="s">
        <v>363</v>
      </c>
      <c r="G576" s="20" t="s">
        <v>24</v>
      </c>
      <c r="H576" s="19">
        <v>1</v>
      </c>
      <c r="I576" s="20" t="s">
        <v>222</v>
      </c>
      <c r="J576" s="34">
        <v>45225</v>
      </c>
      <c r="K576" s="19">
        <v>0.73</v>
      </c>
      <c r="L576" s="20">
        <f t="shared" si="47"/>
        <v>705</v>
      </c>
      <c r="M576" s="4">
        <f>IF(Table3[[#This Row],[Afrondingsdatum YB]]="N/A","-",Table3[[#This Row],[Afrondingsdatum YB]]-Table3[[#This Row],[StartDatum]])</f>
        <v>45225</v>
      </c>
      <c r="N576" s="4"/>
      <c r="O576">
        <f t="shared" si="49"/>
        <v>102</v>
      </c>
      <c r="P576">
        <f t="shared" si="52"/>
        <v>105</v>
      </c>
      <c r="Q576">
        <f t="shared" si="52"/>
        <v>115</v>
      </c>
      <c r="R576">
        <f t="shared" si="52"/>
        <v>116</v>
      </c>
      <c r="S576">
        <f t="shared" si="52"/>
        <v>111</v>
      </c>
      <c r="T576">
        <f t="shared" si="52"/>
        <v>110</v>
      </c>
      <c r="U576">
        <f t="shared" si="52"/>
        <v>46</v>
      </c>
      <c r="V576">
        <f t="shared" si="52"/>
        <v>99</v>
      </c>
      <c r="W576" s="5">
        <f t="shared" si="50"/>
        <v>895</v>
      </c>
      <c r="X576" s="9" t="str">
        <f t="shared" si="51"/>
        <v>i895</v>
      </c>
    </row>
    <row r="577" spans="1:24" x14ac:dyDescent="0.2">
      <c r="A577" s="9" t="s">
        <v>425</v>
      </c>
      <c r="B577" s="9">
        <v>1</v>
      </c>
      <c r="C577" s="17">
        <v>10</v>
      </c>
      <c r="D577" s="20"/>
      <c r="E577" s="23">
        <v>45236</v>
      </c>
      <c r="F577" s="23" t="s">
        <v>362</v>
      </c>
      <c r="G577" s="25" t="s">
        <v>118</v>
      </c>
      <c r="H577" s="24">
        <v>0</v>
      </c>
      <c r="I577" s="25" t="s">
        <v>239</v>
      </c>
      <c r="J577" s="25" t="s">
        <v>7</v>
      </c>
      <c r="K577" s="25" t="s">
        <v>9</v>
      </c>
      <c r="L577" s="25">
        <f t="shared" si="47"/>
        <v>756</v>
      </c>
      <c r="M577" s="4" t="str">
        <f>IF(Table3[[#This Row],[Afrondingsdatum YB]]="N/A","-",Table3[[#This Row],[Afrondingsdatum YB]]-Table3[[#This Row],[StartDatum]])</f>
        <v>-</v>
      </c>
      <c r="N577" s="4"/>
      <c r="O577">
        <f t="shared" si="49"/>
        <v>103</v>
      </c>
      <c r="P577">
        <f t="shared" si="52"/>
        <v>101</v>
      </c>
      <c r="Q577">
        <f t="shared" si="52"/>
        <v>110</v>
      </c>
      <c r="R577">
        <f t="shared" si="52"/>
        <v>116</v>
      </c>
      <c r="S577">
        <f t="shared" si="52"/>
        <v>97</v>
      </c>
      <c r="T577">
        <f t="shared" si="52"/>
        <v>108</v>
      </c>
      <c r="U577">
        <f t="shared" si="52"/>
        <v>121</v>
      </c>
      <c r="V577">
        <f t="shared" si="52"/>
        <v>46</v>
      </c>
      <c r="W577" s="5">
        <f t="shared" si="50"/>
        <v>885</v>
      </c>
      <c r="X577" s="9" t="str">
        <f t="shared" si="51"/>
        <v>e885</v>
      </c>
    </row>
    <row r="578" spans="1:24" x14ac:dyDescent="0.2">
      <c r="A578" s="9" t="s">
        <v>425</v>
      </c>
      <c r="B578" s="9">
        <v>1</v>
      </c>
      <c r="C578" s="17">
        <v>10</v>
      </c>
      <c r="D578" s="20"/>
      <c r="E578" s="18">
        <v>45236</v>
      </c>
      <c r="F578" s="18" t="s">
        <v>362</v>
      </c>
      <c r="G578" s="20" t="s">
        <v>25</v>
      </c>
      <c r="H578" s="19">
        <v>1</v>
      </c>
      <c r="I578" s="20" t="s">
        <v>215</v>
      </c>
      <c r="J578" s="34">
        <v>45231</v>
      </c>
      <c r="K578" s="19">
        <v>0.73</v>
      </c>
      <c r="L578" s="20">
        <f t="shared" ref="L578:L641" si="53">SUM(O578:U578)</f>
        <v>690</v>
      </c>
      <c r="M578" s="4">
        <f>IF(Table3[[#This Row],[Afrondingsdatum YB]]="N/A","-",Table3[[#This Row],[Afrondingsdatum YB]]-Table3[[#This Row],[StartDatum]])</f>
        <v>45231</v>
      </c>
      <c r="N578" s="4"/>
      <c r="O578">
        <f t="shared" si="49"/>
        <v>103</v>
      </c>
      <c r="P578">
        <f t="shared" si="52"/>
        <v>108</v>
      </c>
      <c r="Q578">
        <f t="shared" si="52"/>
        <v>105</v>
      </c>
      <c r="R578">
        <f t="shared" si="52"/>
        <v>103</v>
      </c>
      <c r="S578">
        <f t="shared" si="52"/>
        <v>111</v>
      </c>
      <c r="T578">
        <f t="shared" si="52"/>
        <v>114</v>
      </c>
      <c r="U578">
        <f t="shared" si="52"/>
        <v>46</v>
      </c>
      <c r="V578">
        <f t="shared" si="52"/>
        <v>106</v>
      </c>
      <c r="W578" s="5">
        <f t="shared" si="50"/>
        <v>875</v>
      </c>
      <c r="X578" s="9" t="str">
        <f t="shared" si="51"/>
        <v>l875</v>
      </c>
    </row>
    <row r="579" spans="1:24" x14ac:dyDescent="0.2">
      <c r="A579" s="9" t="s">
        <v>425</v>
      </c>
      <c r="B579" s="9">
        <v>1</v>
      </c>
      <c r="C579" s="17">
        <v>10</v>
      </c>
      <c r="D579" s="20"/>
      <c r="E579" s="23">
        <v>45236</v>
      </c>
      <c r="F579" s="23" t="s">
        <v>363</v>
      </c>
      <c r="G579" s="25" t="s">
        <v>26</v>
      </c>
      <c r="H579" s="24">
        <v>1</v>
      </c>
      <c r="I579" s="25" t="s">
        <v>240</v>
      </c>
      <c r="J579" s="32">
        <v>45230</v>
      </c>
      <c r="K579" s="24">
        <v>0.83</v>
      </c>
      <c r="L579" s="25">
        <f t="shared" si="53"/>
        <v>690</v>
      </c>
      <c r="M579" s="4">
        <f>IF(Table3[[#This Row],[Afrondingsdatum YB]]="N/A","-",Table3[[#This Row],[Afrondingsdatum YB]]-Table3[[#This Row],[StartDatum]])</f>
        <v>45230</v>
      </c>
      <c r="N579" s="4"/>
      <c r="O579">
        <f t="shared" si="49"/>
        <v>104</v>
      </c>
      <c r="P579">
        <f t="shared" si="52"/>
        <v>97</v>
      </c>
      <c r="Q579">
        <f t="shared" si="52"/>
        <v>122</v>
      </c>
      <c r="R579">
        <f t="shared" si="52"/>
        <v>101</v>
      </c>
      <c r="S579">
        <f t="shared" si="52"/>
        <v>109</v>
      </c>
      <c r="T579">
        <f t="shared" si="52"/>
        <v>46</v>
      </c>
      <c r="U579">
        <f t="shared" si="52"/>
        <v>111</v>
      </c>
      <c r="V579">
        <f t="shared" si="52"/>
        <v>110</v>
      </c>
      <c r="W579" s="5">
        <f t="shared" si="50"/>
        <v>920</v>
      </c>
      <c r="X579" s="9" t="str">
        <f t="shared" si="51"/>
        <v>a920</v>
      </c>
    </row>
    <row r="580" spans="1:24" x14ac:dyDescent="0.2">
      <c r="A580" s="9" t="s">
        <v>425</v>
      </c>
      <c r="B580" s="9">
        <v>1</v>
      </c>
      <c r="C580" s="17">
        <v>10</v>
      </c>
      <c r="D580" s="20"/>
      <c r="E580" s="18">
        <v>45236</v>
      </c>
      <c r="F580" s="18" t="s">
        <v>364</v>
      </c>
      <c r="G580" s="20" t="s">
        <v>27</v>
      </c>
      <c r="H580" s="19">
        <v>0.53</v>
      </c>
      <c r="I580" s="20" t="s">
        <v>177</v>
      </c>
      <c r="J580" s="20" t="s">
        <v>7</v>
      </c>
      <c r="K580" s="20" t="s">
        <v>9</v>
      </c>
      <c r="L580" s="20">
        <f t="shared" si="53"/>
        <v>734</v>
      </c>
      <c r="M580" s="4" t="str">
        <f>IF(Table3[[#This Row],[Afrondingsdatum YB]]="N/A","-",Table3[[#This Row],[Afrondingsdatum YB]]-Table3[[#This Row],[StartDatum]])</f>
        <v>-</v>
      </c>
      <c r="N580" s="4"/>
      <c r="O580">
        <f t="shared" si="49"/>
        <v>104</v>
      </c>
      <c r="P580">
        <f t="shared" si="52"/>
        <v>101</v>
      </c>
      <c r="Q580">
        <f t="shared" si="52"/>
        <v>114</v>
      </c>
      <c r="R580">
        <f t="shared" si="52"/>
        <v>109</v>
      </c>
      <c r="S580">
        <f t="shared" si="52"/>
        <v>101</v>
      </c>
      <c r="T580">
        <f t="shared" si="52"/>
        <v>108</v>
      </c>
      <c r="U580">
        <f t="shared" si="52"/>
        <v>97</v>
      </c>
      <c r="V580">
        <f t="shared" si="52"/>
        <v>46</v>
      </c>
      <c r="W580" s="5">
        <f t="shared" si="50"/>
        <v>876</v>
      </c>
      <c r="X580" s="9" t="str">
        <f t="shared" si="51"/>
        <v>e876</v>
      </c>
    </row>
    <row r="581" spans="1:24" x14ac:dyDescent="0.2">
      <c r="A581" s="9" t="s">
        <v>425</v>
      </c>
      <c r="B581" s="9">
        <v>1</v>
      </c>
      <c r="C581" s="17">
        <v>10</v>
      </c>
      <c r="D581" s="20"/>
      <c r="E581" s="23">
        <v>45236</v>
      </c>
      <c r="F581" s="23" t="s">
        <v>364</v>
      </c>
      <c r="G581" s="25" t="s">
        <v>28</v>
      </c>
      <c r="H581" s="24">
        <v>1</v>
      </c>
      <c r="I581" s="25" t="s">
        <v>241</v>
      </c>
      <c r="J581" s="32">
        <v>45233</v>
      </c>
      <c r="K581" s="24">
        <v>0.93</v>
      </c>
      <c r="L581" s="25">
        <f t="shared" si="53"/>
        <v>665</v>
      </c>
      <c r="M581" s="4">
        <f>IF(Table3[[#This Row],[Afrondingsdatum YB]]="N/A","-",Table3[[#This Row],[Afrondingsdatum YB]]-Table3[[#This Row],[StartDatum]])</f>
        <v>45233</v>
      </c>
      <c r="N581" s="4"/>
      <c r="O581">
        <f t="shared" si="49"/>
        <v>104</v>
      </c>
      <c r="P581">
        <f t="shared" si="52"/>
        <v>117</v>
      </c>
      <c r="Q581">
        <f t="shared" si="52"/>
        <v>105</v>
      </c>
      <c r="R581">
        <f t="shared" si="52"/>
        <v>98</v>
      </c>
      <c r="S581">
        <f t="shared" si="52"/>
        <v>46</v>
      </c>
      <c r="T581">
        <f t="shared" si="52"/>
        <v>98</v>
      </c>
      <c r="U581">
        <f t="shared" si="52"/>
        <v>97</v>
      </c>
      <c r="V581">
        <f t="shared" si="52"/>
        <v>107</v>
      </c>
      <c r="W581" s="5">
        <f t="shared" si="50"/>
        <v>850</v>
      </c>
      <c r="X581" s="9" t="str">
        <f t="shared" si="51"/>
        <v>u850</v>
      </c>
    </row>
    <row r="582" spans="1:24" x14ac:dyDescent="0.2">
      <c r="A582" s="9" t="s">
        <v>425</v>
      </c>
      <c r="B582" s="9">
        <v>1</v>
      </c>
      <c r="C582" s="17">
        <v>10</v>
      </c>
      <c r="D582" s="20"/>
      <c r="E582" s="18">
        <v>45236</v>
      </c>
      <c r="F582" s="18" t="s">
        <v>363</v>
      </c>
      <c r="G582" s="20" t="s">
        <v>29</v>
      </c>
      <c r="H582" s="19">
        <v>1</v>
      </c>
      <c r="I582" s="20" t="s">
        <v>179</v>
      </c>
      <c r="J582" s="34">
        <v>45210</v>
      </c>
      <c r="K582" s="19">
        <v>0.85</v>
      </c>
      <c r="L582" s="20">
        <f t="shared" si="53"/>
        <v>682</v>
      </c>
      <c r="M582" s="4">
        <f>IF(Table3[[#This Row],[Afrondingsdatum YB]]="N/A","-",Table3[[#This Row],[Afrondingsdatum YB]]-Table3[[#This Row],[StartDatum]])</f>
        <v>45210</v>
      </c>
      <c r="N582" s="4"/>
      <c r="O582">
        <f t="shared" si="49"/>
        <v>105</v>
      </c>
      <c r="P582">
        <f t="shared" si="52"/>
        <v>107</v>
      </c>
      <c r="Q582">
        <f t="shared" si="52"/>
        <v>104</v>
      </c>
      <c r="R582">
        <f t="shared" si="52"/>
        <v>108</v>
      </c>
      <c r="S582">
        <f t="shared" si="52"/>
        <v>97</v>
      </c>
      <c r="T582">
        <f t="shared" si="52"/>
        <v>115</v>
      </c>
      <c r="U582">
        <f t="shared" si="52"/>
        <v>46</v>
      </c>
      <c r="V582">
        <f t="shared" si="52"/>
        <v>98</v>
      </c>
      <c r="W582" s="5">
        <f t="shared" si="50"/>
        <v>854</v>
      </c>
      <c r="X582" s="9" t="str">
        <f t="shared" si="51"/>
        <v>k854</v>
      </c>
    </row>
    <row r="583" spans="1:24" x14ac:dyDescent="0.2">
      <c r="A583" s="9" t="s">
        <v>425</v>
      </c>
      <c r="B583" s="9">
        <v>1</v>
      </c>
      <c r="C583" s="17">
        <v>10</v>
      </c>
      <c r="D583" s="20"/>
      <c r="E583" s="23">
        <v>45236</v>
      </c>
      <c r="F583" s="23" t="s">
        <v>363</v>
      </c>
      <c r="G583" s="25" t="s">
        <v>30</v>
      </c>
      <c r="H583" s="24">
        <v>1</v>
      </c>
      <c r="I583" s="25" t="s">
        <v>225</v>
      </c>
      <c r="J583" s="32">
        <v>45226</v>
      </c>
      <c r="K583" s="24">
        <v>0.75</v>
      </c>
      <c r="L583" s="25">
        <f t="shared" si="53"/>
        <v>701</v>
      </c>
      <c r="M583" s="4">
        <f>IF(Table3[[#This Row],[Afrondingsdatum YB]]="N/A","-",Table3[[#This Row],[Afrondingsdatum YB]]-Table3[[#This Row],[StartDatum]])</f>
        <v>45226</v>
      </c>
      <c r="N583" s="4"/>
      <c r="O583">
        <f t="shared" si="49"/>
        <v>105</v>
      </c>
      <c r="P583">
        <f t="shared" si="52"/>
        <v>108</v>
      </c>
      <c r="Q583">
        <f t="shared" si="52"/>
        <v>107</v>
      </c>
      <c r="R583">
        <f t="shared" si="52"/>
        <v>97</v>
      </c>
      <c r="S583">
        <f t="shared" si="52"/>
        <v>121</v>
      </c>
      <c r="T583">
        <f t="shared" si="52"/>
        <v>46</v>
      </c>
      <c r="U583">
        <f t="shared" si="52"/>
        <v>117</v>
      </c>
      <c r="V583">
        <f t="shared" si="52"/>
        <v>121</v>
      </c>
      <c r="W583" s="5">
        <f t="shared" si="50"/>
        <v>909</v>
      </c>
      <c r="X583" s="9" t="str">
        <f t="shared" si="51"/>
        <v>l909</v>
      </c>
    </row>
    <row r="584" spans="1:24" x14ac:dyDescent="0.2">
      <c r="A584" s="9" t="s">
        <v>425</v>
      </c>
      <c r="B584" s="9">
        <v>1</v>
      </c>
      <c r="C584" s="17">
        <v>10</v>
      </c>
      <c r="D584" s="20"/>
      <c r="E584" s="18">
        <v>45236</v>
      </c>
      <c r="F584" s="18" t="s">
        <v>364</v>
      </c>
      <c r="G584" s="20" t="s">
        <v>31</v>
      </c>
      <c r="H584" s="19">
        <v>1</v>
      </c>
      <c r="I584" s="20" t="s">
        <v>207</v>
      </c>
      <c r="J584" s="34">
        <v>45230</v>
      </c>
      <c r="K584" s="19">
        <v>0.85</v>
      </c>
      <c r="L584" s="20">
        <f t="shared" si="53"/>
        <v>661</v>
      </c>
      <c r="M584" s="4">
        <f>IF(Table3[[#This Row],[Afrondingsdatum YB]]="N/A","-",Table3[[#This Row],[Afrondingsdatum YB]]-Table3[[#This Row],[StartDatum]])</f>
        <v>45230</v>
      </c>
      <c r="N584" s="4"/>
      <c r="O584">
        <f t="shared" si="49"/>
        <v>106</v>
      </c>
      <c r="P584">
        <f t="shared" si="52"/>
        <v>97</v>
      </c>
      <c r="Q584">
        <f t="shared" si="52"/>
        <v>109</v>
      </c>
      <c r="R584">
        <f t="shared" si="52"/>
        <v>97</v>
      </c>
      <c r="S584">
        <f t="shared" si="52"/>
        <v>108</v>
      </c>
      <c r="T584">
        <f t="shared" si="52"/>
        <v>46</v>
      </c>
      <c r="U584">
        <f t="shared" si="52"/>
        <v>98</v>
      </c>
      <c r="V584">
        <f t="shared" si="52"/>
        <v>97</v>
      </c>
      <c r="W584" s="5">
        <f t="shared" si="50"/>
        <v>855</v>
      </c>
      <c r="X584" s="9" t="str">
        <f t="shared" si="51"/>
        <v>a855</v>
      </c>
    </row>
    <row r="585" spans="1:24" x14ac:dyDescent="0.2">
      <c r="A585" s="9" t="s">
        <v>425</v>
      </c>
      <c r="B585" s="9">
        <v>1</v>
      </c>
      <c r="C585" s="17">
        <v>10</v>
      </c>
      <c r="D585" s="20"/>
      <c r="E585" s="23">
        <v>45236</v>
      </c>
      <c r="F585" s="23" t="s">
        <v>364</v>
      </c>
      <c r="G585" s="25" t="s">
        <v>75</v>
      </c>
      <c r="H585" s="24">
        <v>0</v>
      </c>
      <c r="I585" s="25" t="s">
        <v>8</v>
      </c>
      <c r="J585" s="25" t="s">
        <v>7</v>
      </c>
      <c r="K585" s="25" t="s">
        <v>9</v>
      </c>
      <c r="L585" s="25">
        <f t="shared" si="53"/>
        <v>698</v>
      </c>
      <c r="M585" s="4" t="str">
        <f>IF(Table3[[#This Row],[Afrondingsdatum YB]]="N/A","-",Table3[[#This Row],[Afrondingsdatum YB]]-Table3[[#This Row],[StartDatum]])</f>
        <v>-</v>
      </c>
      <c r="N585" s="4"/>
      <c r="O585">
        <f t="shared" si="49"/>
        <v>74</v>
      </c>
      <c r="P585">
        <f t="shared" si="52"/>
        <v>97</v>
      </c>
      <c r="Q585">
        <f t="shared" si="52"/>
        <v>109</v>
      </c>
      <c r="R585">
        <f t="shared" si="52"/>
        <v>105</v>
      </c>
      <c r="S585">
        <f t="shared" si="52"/>
        <v>108</v>
      </c>
      <c r="T585">
        <f t="shared" si="52"/>
        <v>108</v>
      </c>
      <c r="U585">
        <f t="shared" si="52"/>
        <v>97</v>
      </c>
      <c r="V585">
        <f t="shared" si="52"/>
        <v>98</v>
      </c>
      <c r="W585" s="5">
        <f t="shared" si="50"/>
        <v>887</v>
      </c>
      <c r="X585" s="9" t="str">
        <f t="shared" si="51"/>
        <v>a887</v>
      </c>
    </row>
    <row r="586" spans="1:24" x14ac:dyDescent="0.2">
      <c r="A586" s="9" t="s">
        <v>425</v>
      </c>
      <c r="B586" s="9">
        <v>1</v>
      </c>
      <c r="C586" s="17">
        <v>10</v>
      </c>
      <c r="D586" s="20"/>
      <c r="E586" s="18">
        <v>45236</v>
      </c>
      <c r="F586" s="18" t="s">
        <v>363</v>
      </c>
      <c r="G586" s="20" t="s">
        <v>32</v>
      </c>
      <c r="H586" s="19">
        <v>1</v>
      </c>
      <c r="I586" s="20" t="s">
        <v>181</v>
      </c>
      <c r="J586" s="34">
        <v>45209</v>
      </c>
      <c r="K586" s="19">
        <v>0.78</v>
      </c>
      <c r="L586" s="20">
        <f t="shared" si="53"/>
        <v>698</v>
      </c>
      <c r="M586" s="4">
        <f>IF(Table3[[#This Row],[Afrondingsdatum YB]]="N/A","-",Table3[[#This Row],[Afrondingsdatum YB]]-Table3[[#This Row],[StartDatum]])</f>
        <v>45209</v>
      </c>
      <c r="N586" s="4"/>
      <c r="O586">
        <f t="shared" si="49"/>
        <v>106</v>
      </c>
      <c r="P586">
        <f t="shared" si="52"/>
        <v>97</v>
      </c>
      <c r="Q586">
        <f t="shared" si="52"/>
        <v>114</v>
      </c>
      <c r="R586">
        <f t="shared" si="52"/>
        <v>114</v>
      </c>
      <c r="S586">
        <f t="shared" si="52"/>
        <v>111</v>
      </c>
      <c r="T586">
        <f t="shared" si="52"/>
        <v>110</v>
      </c>
      <c r="U586">
        <f t="shared" si="52"/>
        <v>46</v>
      </c>
      <c r="V586">
        <f t="shared" si="52"/>
        <v>118</v>
      </c>
      <c r="W586" s="5">
        <f t="shared" si="50"/>
        <v>910</v>
      </c>
      <c r="X586" s="9" t="str">
        <f t="shared" si="51"/>
        <v>a910</v>
      </c>
    </row>
    <row r="587" spans="1:24" x14ac:dyDescent="0.2">
      <c r="A587" s="9" t="s">
        <v>425</v>
      </c>
      <c r="B587" s="9">
        <v>1</v>
      </c>
      <c r="C587" s="17">
        <v>10</v>
      </c>
      <c r="D587" s="20"/>
      <c r="E587" s="23">
        <v>45236</v>
      </c>
      <c r="F587" s="23" t="s">
        <v>362</v>
      </c>
      <c r="G587" s="25" t="s">
        <v>33</v>
      </c>
      <c r="H587" s="24">
        <v>0.23</v>
      </c>
      <c r="I587" s="25" t="s">
        <v>182</v>
      </c>
      <c r="J587" s="25" t="s">
        <v>7</v>
      </c>
      <c r="K587" s="25" t="s">
        <v>9</v>
      </c>
      <c r="L587" s="25">
        <f t="shared" si="53"/>
        <v>707</v>
      </c>
      <c r="M587" s="4" t="str">
        <f>IF(Table3[[#This Row],[Afrondingsdatum YB]]="N/A","-",Table3[[#This Row],[Afrondingsdatum YB]]-Table3[[#This Row],[StartDatum]])</f>
        <v>-</v>
      </c>
      <c r="N587" s="4"/>
      <c r="O587">
        <f t="shared" si="49"/>
        <v>106</v>
      </c>
      <c r="P587">
        <f t="shared" si="52"/>
        <v>101</v>
      </c>
      <c r="Q587">
        <f t="shared" si="52"/>
        <v>118</v>
      </c>
      <c r="R587">
        <f t="shared" si="52"/>
        <v>111</v>
      </c>
      <c r="S587">
        <f t="shared" si="52"/>
        <v>110</v>
      </c>
      <c r="T587">
        <f t="shared" si="52"/>
        <v>46</v>
      </c>
      <c r="U587">
        <f t="shared" si="52"/>
        <v>115</v>
      </c>
      <c r="V587">
        <f t="shared" si="52"/>
        <v>109</v>
      </c>
      <c r="W587" s="5">
        <f t="shared" si="50"/>
        <v>918</v>
      </c>
      <c r="X587" s="9" t="str">
        <f t="shared" si="51"/>
        <v>e918</v>
      </c>
    </row>
    <row r="588" spans="1:24" x14ac:dyDescent="0.2">
      <c r="A588" s="9" t="s">
        <v>425</v>
      </c>
      <c r="B588" s="9">
        <v>1</v>
      </c>
      <c r="C588" s="17">
        <v>10</v>
      </c>
      <c r="D588" s="20"/>
      <c r="E588" s="18">
        <v>45236</v>
      </c>
      <c r="F588" s="18" t="s">
        <v>362</v>
      </c>
      <c r="G588" s="20" t="s">
        <v>125</v>
      </c>
      <c r="H588" s="19">
        <v>0.04</v>
      </c>
      <c r="I588" s="20" t="s">
        <v>242</v>
      </c>
      <c r="J588" s="20" t="s">
        <v>7</v>
      </c>
      <c r="K588" s="20" t="s">
        <v>9</v>
      </c>
      <c r="L588" s="20">
        <f t="shared" si="53"/>
        <v>689</v>
      </c>
      <c r="M588" s="4" t="str">
        <f>IF(Table3[[#This Row],[Afrondingsdatum YB]]="N/A","-",Table3[[#This Row],[Afrondingsdatum YB]]-Table3[[#This Row],[StartDatum]])</f>
        <v>-</v>
      </c>
      <c r="N588" s="4"/>
      <c r="O588">
        <f t="shared" si="49"/>
        <v>106</v>
      </c>
      <c r="P588">
        <f t="shared" si="52"/>
        <v>111</v>
      </c>
      <c r="Q588">
        <f t="shared" si="52"/>
        <v>98</v>
      </c>
      <c r="R588">
        <f t="shared" si="52"/>
        <v>46</v>
      </c>
      <c r="S588">
        <f t="shared" si="52"/>
        <v>107</v>
      </c>
      <c r="T588">
        <f t="shared" si="52"/>
        <v>110</v>
      </c>
      <c r="U588">
        <f t="shared" si="52"/>
        <v>111</v>
      </c>
      <c r="V588">
        <f t="shared" si="52"/>
        <v>111</v>
      </c>
      <c r="W588" s="5">
        <f t="shared" si="50"/>
        <v>906</v>
      </c>
      <c r="X588" s="9" t="str">
        <f t="shared" si="51"/>
        <v>o906</v>
      </c>
    </row>
    <row r="589" spans="1:24" x14ac:dyDescent="0.2">
      <c r="A589" s="9" t="s">
        <v>425</v>
      </c>
      <c r="B589" s="9">
        <v>1</v>
      </c>
      <c r="C589" s="17">
        <v>10</v>
      </c>
      <c r="D589" s="20"/>
      <c r="E589" s="23">
        <v>45236</v>
      </c>
      <c r="F589" s="23" t="s">
        <v>362</v>
      </c>
      <c r="G589" s="25" t="s">
        <v>34</v>
      </c>
      <c r="H589" s="24">
        <v>0.14000000000000001</v>
      </c>
      <c r="I589" s="25" t="s">
        <v>178</v>
      </c>
      <c r="J589" s="25" t="s">
        <v>7</v>
      </c>
      <c r="K589" s="25" t="s">
        <v>9</v>
      </c>
      <c r="L589" s="25">
        <f t="shared" si="53"/>
        <v>676</v>
      </c>
      <c r="M589" s="4" t="str">
        <f>IF(Table3[[#This Row],[Afrondingsdatum YB]]="N/A","-",Table3[[#This Row],[Afrondingsdatum YB]]-Table3[[#This Row],[StartDatum]])</f>
        <v>-</v>
      </c>
      <c r="N589" s="4"/>
      <c r="O589">
        <f t="shared" si="49"/>
        <v>106</v>
      </c>
      <c r="P589">
        <f t="shared" si="52"/>
        <v>111</v>
      </c>
      <c r="Q589">
        <f t="shared" si="52"/>
        <v>99</v>
      </c>
      <c r="R589">
        <f t="shared" si="52"/>
        <v>104</v>
      </c>
      <c r="S589">
        <f t="shared" si="52"/>
        <v>101</v>
      </c>
      <c r="T589">
        <f t="shared" si="52"/>
        <v>109</v>
      </c>
      <c r="U589">
        <f t="shared" si="52"/>
        <v>46</v>
      </c>
      <c r="V589">
        <f t="shared" si="52"/>
        <v>104</v>
      </c>
      <c r="W589" s="5">
        <f t="shared" si="50"/>
        <v>845</v>
      </c>
      <c r="X589" s="9" t="str">
        <f t="shared" si="51"/>
        <v>o845</v>
      </c>
    </row>
    <row r="590" spans="1:24" x14ac:dyDescent="0.2">
      <c r="A590" s="9" t="s">
        <v>425</v>
      </c>
      <c r="B590" s="9">
        <v>1</v>
      </c>
      <c r="C590" s="17">
        <v>10</v>
      </c>
      <c r="D590" s="20"/>
      <c r="E590" s="18">
        <v>45236</v>
      </c>
      <c r="F590" s="18" t="s">
        <v>362</v>
      </c>
      <c r="G590" s="20" t="s">
        <v>35</v>
      </c>
      <c r="H590" s="19">
        <v>0.26</v>
      </c>
      <c r="I590" s="20" t="s">
        <v>243</v>
      </c>
      <c r="J590" s="20" t="s">
        <v>7</v>
      </c>
      <c r="K590" s="20" t="s">
        <v>9</v>
      </c>
      <c r="L590" s="20">
        <f t="shared" si="53"/>
        <v>704</v>
      </c>
      <c r="M590" s="4" t="str">
        <f>IF(Table3[[#This Row],[Afrondingsdatum YB]]="N/A","-",Table3[[#This Row],[Afrondingsdatum YB]]-Table3[[#This Row],[StartDatum]])</f>
        <v>-</v>
      </c>
      <c r="N590" s="4"/>
      <c r="O590">
        <f t="shared" si="49"/>
        <v>106</v>
      </c>
      <c r="P590">
        <f t="shared" si="52"/>
        <v>111</v>
      </c>
      <c r="Q590">
        <f t="shared" si="52"/>
        <v>114</v>
      </c>
      <c r="R590">
        <f t="shared" si="52"/>
        <v>105</v>
      </c>
      <c r="S590">
        <f t="shared" si="52"/>
        <v>115</v>
      </c>
      <c r="T590">
        <f t="shared" si="52"/>
        <v>46</v>
      </c>
      <c r="U590">
        <f t="shared" si="52"/>
        <v>107</v>
      </c>
      <c r="V590">
        <f t="shared" si="52"/>
        <v>111</v>
      </c>
      <c r="W590" s="5">
        <f t="shared" si="50"/>
        <v>909</v>
      </c>
      <c r="X590" s="9" t="str">
        <f t="shared" si="51"/>
        <v>o909</v>
      </c>
    </row>
    <row r="591" spans="1:24" x14ac:dyDescent="0.2">
      <c r="A591" s="9" t="s">
        <v>425</v>
      </c>
      <c r="B591" s="9">
        <v>1</v>
      </c>
      <c r="C591" s="17">
        <v>10</v>
      </c>
      <c r="D591" s="20"/>
      <c r="E591" s="23">
        <v>45236</v>
      </c>
      <c r="F591" s="23" t="s">
        <v>364</v>
      </c>
      <c r="G591" s="25" t="s">
        <v>36</v>
      </c>
      <c r="H591" s="24">
        <v>1</v>
      </c>
      <c r="I591" s="25" t="s">
        <v>179</v>
      </c>
      <c r="J591" s="25" t="s">
        <v>7</v>
      </c>
      <c r="K591" s="25" t="s">
        <v>9</v>
      </c>
      <c r="L591" s="25">
        <f t="shared" si="53"/>
        <v>657</v>
      </c>
      <c r="M591" s="4" t="str">
        <f>IF(Table3[[#This Row],[Afrondingsdatum YB]]="N/A","-",Table3[[#This Row],[Afrondingsdatum YB]]-Table3[[#This Row],[StartDatum]])</f>
        <v>-</v>
      </c>
      <c r="N591" s="4"/>
      <c r="O591">
        <f t="shared" si="49"/>
        <v>74</v>
      </c>
      <c r="P591">
        <f t="shared" si="52"/>
        <v>117</v>
      </c>
      <c r="Q591">
        <f t="shared" si="52"/>
        <v>108</v>
      </c>
      <c r="R591">
        <f t="shared" si="52"/>
        <v>105</v>
      </c>
      <c r="S591">
        <f t="shared" si="52"/>
        <v>97</v>
      </c>
      <c r="T591">
        <f t="shared" si="52"/>
        <v>110</v>
      </c>
      <c r="U591">
        <f t="shared" si="52"/>
        <v>46</v>
      </c>
      <c r="V591">
        <f t="shared" si="52"/>
        <v>68</v>
      </c>
      <c r="W591" s="5">
        <f t="shared" si="50"/>
        <v>804</v>
      </c>
      <c r="X591" s="9" t="str">
        <f t="shared" si="51"/>
        <v>u804</v>
      </c>
    </row>
    <row r="592" spans="1:24" x14ac:dyDescent="0.2">
      <c r="A592" s="9" t="s">
        <v>425</v>
      </c>
      <c r="B592" s="9">
        <v>1</v>
      </c>
      <c r="C592" s="17">
        <v>10</v>
      </c>
      <c r="D592" s="20"/>
      <c r="E592" s="18">
        <v>45236</v>
      </c>
      <c r="F592" s="18" t="s">
        <v>363</v>
      </c>
      <c r="G592" s="20" t="s">
        <v>37</v>
      </c>
      <c r="H592" s="19">
        <v>1</v>
      </c>
      <c r="I592" s="20" t="s">
        <v>207</v>
      </c>
      <c r="J592" s="34">
        <v>45228</v>
      </c>
      <c r="K592" s="19">
        <v>0.8</v>
      </c>
      <c r="L592" s="20">
        <f t="shared" si="53"/>
        <v>689</v>
      </c>
      <c r="M592" s="4">
        <f>IF(Table3[[#This Row],[Afrondingsdatum YB]]="N/A","-",Table3[[#This Row],[Afrondingsdatum YB]]-Table3[[#This Row],[StartDatum]])</f>
        <v>45228</v>
      </c>
      <c r="N592" s="4"/>
      <c r="O592">
        <f t="shared" si="49"/>
        <v>106</v>
      </c>
      <c r="P592">
        <f t="shared" si="52"/>
        <v>117</v>
      </c>
      <c r="Q592">
        <f t="shared" ref="P592:V628" si="54">CODE(MID($G592,Q$1,1))</f>
        <v>108</v>
      </c>
      <c r="R592">
        <f t="shared" si="54"/>
        <v>105</v>
      </c>
      <c r="S592">
        <f t="shared" si="54"/>
        <v>97</v>
      </c>
      <c r="T592">
        <f t="shared" si="54"/>
        <v>110</v>
      </c>
      <c r="U592">
        <f t="shared" si="54"/>
        <v>46</v>
      </c>
      <c r="V592">
        <f t="shared" si="54"/>
        <v>118</v>
      </c>
      <c r="W592" s="5">
        <f t="shared" si="50"/>
        <v>886</v>
      </c>
      <c r="X592" s="9" t="str">
        <f t="shared" si="51"/>
        <v>u886</v>
      </c>
    </row>
    <row r="593" spans="1:24" x14ac:dyDescent="0.2">
      <c r="A593" s="9" t="s">
        <v>425</v>
      </c>
      <c r="B593" s="9">
        <v>1</v>
      </c>
      <c r="C593" s="17">
        <v>10</v>
      </c>
      <c r="D593" s="20"/>
      <c r="E593" s="23">
        <v>45236</v>
      </c>
      <c r="F593" s="23" t="s">
        <v>363</v>
      </c>
      <c r="G593" s="25" t="s">
        <v>38</v>
      </c>
      <c r="H593" s="24">
        <v>1</v>
      </c>
      <c r="I593" s="25" t="s">
        <v>208</v>
      </c>
      <c r="J593" s="32">
        <v>45223</v>
      </c>
      <c r="K593" s="24">
        <v>0.8</v>
      </c>
      <c r="L593" s="25">
        <f t="shared" si="53"/>
        <v>671</v>
      </c>
      <c r="M593" s="4">
        <f>IF(Table3[[#This Row],[Afrondingsdatum YB]]="N/A","-",Table3[[#This Row],[Afrondingsdatum YB]]-Table3[[#This Row],[StartDatum]])</f>
        <v>45223</v>
      </c>
      <c r="N593" s="4"/>
      <c r="O593">
        <f t="shared" si="49"/>
        <v>107</v>
      </c>
      <c r="P593">
        <f t="shared" si="54"/>
        <v>97</v>
      </c>
      <c r="Q593">
        <f t="shared" si="54"/>
        <v>105</v>
      </c>
      <c r="R593">
        <f t="shared" si="54"/>
        <v>46</v>
      </c>
      <c r="S593">
        <f t="shared" si="54"/>
        <v>104</v>
      </c>
      <c r="T593">
        <f t="shared" si="54"/>
        <v>97</v>
      </c>
      <c r="U593">
        <f t="shared" si="54"/>
        <v>115</v>
      </c>
      <c r="V593">
        <f t="shared" si="54"/>
        <v>115</v>
      </c>
      <c r="W593" s="5">
        <f t="shared" si="50"/>
        <v>913</v>
      </c>
      <c r="X593" s="9" t="str">
        <f t="shared" si="51"/>
        <v>a913</v>
      </c>
    </row>
    <row r="594" spans="1:24" x14ac:dyDescent="0.2">
      <c r="A594" s="9" t="s">
        <v>425</v>
      </c>
      <c r="B594" s="9">
        <v>1</v>
      </c>
      <c r="C594" s="17">
        <v>10</v>
      </c>
      <c r="D594" s="20"/>
      <c r="E594" s="18">
        <v>45236</v>
      </c>
      <c r="F594" s="18" t="s">
        <v>362</v>
      </c>
      <c r="G594" s="20" t="s">
        <v>39</v>
      </c>
      <c r="H594" s="19">
        <v>1</v>
      </c>
      <c r="I594" s="20" t="s">
        <v>226</v>
      </c>
      <c r="J594" s="34">
        <v>45226</v>
      </c>
      <c r="K594" s="19">
        <v>0.75</v>
      </c>
      <c r="L594" s="20">
        <f t="shared" si="53"/>
        <v>673</v>
      </c>
      <c r="M594" s="4">
        <f>IF(Table3[[#This Row],[Afrondingsdatum YB]]="N/A","-",Table3[[#This Row],[Afrondingsdatum YB]]-Table3[[#This Row],[StartDatum]])</f>
        <v>45226</v>
      </c>
      <c r="N594" s="4"/>
      <c r="O594">
        <f t="shared" si="49"/>
        <v>107</v>
      </c>
      <c r="P594">
        <f t="shared" si="54"/>
        <v>101</v>
      </c>
      <c r="Q594">
        <f t="shared" si="54"/>
        <v>110</v>
      </c>
      <c r="R594">
        <f t="shared" si="54"/>
        <v>97</v>
      </c>
      <c r="S594">
        <f t="shared" si="54"/>
        <v>110</v>
      </c>
      <c r="T594">
        <f t="shared" si="54"/>
        <v>46</v>
      </c>
      <c r="U594">
        <f t="shared" si="54"/>
        <v>102</v>
      </c>
      <c r="V594">
        <f t="shared" si="54"/>
        <v>108</v>
      </c>
      <c r="W594" s="5">
        <f t="shared" si="50"/>
        <v>878</v>
      </c>
      <c r="X594" s="9" t="str">
        <f t="shared" si="51"/>
        <v>e878</v>
      </c>
    </row>
    <row r="595" spans="1:24" x14ac:dyDescent="0.2">
      <c r="A595" s="9" t="s">
        <v>425</v>
      </c>
      <c r="B595" s="9">
        <v>1</v>
      </c>
      <c r="C595" s="17">
        <v>10</v>
      </c>
      <c r="D595" s="20"/>
      <c r="E595" s="23">
        <v>45236</v>
      </c>
      <c r="F595" s="23" t="s">
        <v>363</v>
      </c>
      <c r="G595" s="25" t="s">
        <v>40</v>
      </c>
      <c r="H595" s="24">
        <v>1</v>
      </c>
      <c r="I595" s="25" t="s">
        <v>227</v>
      </c>
      <c r="J595" s="32">
        <v>45225</v>
      </c>
      <c r="K595" s="24">
        <v>0.85</v>
      </c>
      <c r="L595" s="25">
        <f t="shared" si="53"/>
        <v>685</v>
      </c>
      <c r="M595" s="4">
        <f>IF(Table3[[#This Row],[Afrondingsdatum YB]]="N/A","-",Table3[[#This Row],[Afrondingsdatum YB]]-Table3[[#This Row],[StartDatum]])</f>
        <v>45225</v>
      </c>
      <c r="N595" s="4"/>
      <c r="O595">
        <f t="shared" si="49"/>
        <v>107</v>
      </c>
      <c r="P595">
        <f t="shared" si="54"/>
        <v>101</v>
      </c>
      <c r="Q595">
        <f t="shared" si="54"/>
        <v>118</v>
      </c>
      <c r="R595">
        <f t="shared" si="54"/>
        <v>105</v>
      </c>
      <c r="S595">
        <f t="shared" si="54"/>
        <v>110</v>
      </c>
      <c r="T595">
        <f t="shared" si="54"/>
        <v>46</v>
      </c>
      <c r="U595">
        <f t="shared" si="54"/>
        <v>98</v>
      </c>
      <c r="V595">
        <f t="shared" si="54"/>
        <v>97</v>
      </c>
      <c r="W595" s="5">
        <f t="shared" si="50"/>
        <v>889</v>
      </c>
      <c r="X595" s="9" t="str">
        <f t="shared" si="51"/>
        <v>e889</v>
      </c>
    </row>
    <row r="596" spans="1:24" x14ac:dyDescent="0.2">
      <c r="A596" s="9" t="s">
        <v>425</v>
      </c>
      <c r="B596" s="9">
        <v>1</v>
      </c>
      <c r="C596" s="17">
        <v>10</v>
      </c>
      <c r="D596" s="20"/>
      <c r="E596" s="18">
        <v>45236</v>
      </c>
      <c r="F596" s="18" t="s">
        <v>363</v>
      </c>
      <c r="G596" s="20" t="s">
        <v>41</v>
      </c>
      <c r="H596" s="19">
        <v>1</v>
      </c>
      <c r="I596" s="20" t="s">
        <v>121</v>
      </c>
      <c r="J596" s="34">
        <v>45218</v>
      </c>
      <c r="K596" s="19">
        <v>0.83</v>
      </c>
      <c r="L596" s="20">
        <f t="shared" si="53"/>
        <v>694</v>
      </c>
      <c r="M596" s="4">
        <f>IF(Table3[[#This Row],[Afrondingsdatum YB]]="N/A","-",Table3[[#This Row],[Afrondingsdatum YB]]-Table3[[#This Row],[StartDatum]])</f>
        <v>45218</v>
      </c>
      <c r="N596" s="4"/>
      <c r="O596">
        <f t="shared" si="49"/>
        <v>107</v>
      </c>
      <c r="P596">
        <f t="shared" si="54"/>
        <v>106</v>
      </c>
      <c r="Q596">
        <f t="shared" si="54"/>
        <v>101</v>
      </c>
      <c r="R596">
        <f t="shared" si="54"/>
        <v>108</v>
      </c>
      <c r="S596">
        <f t="shared" si="54"/>
        <v>108</v>
      </c>
      <c r="T596">
        <f t="shared" si="54"/>
        <v>46</v>
      </c>
      <c r="U596">
        <f t="shared" si="54"/>
        <v>118</v>
      </c>
      <c r="V596">
        <f t="shared" si="54"/>
        <v>97</v>
      </c>
      <c r="W596" s="5">
        <f t="shared" si="50"/>
        <v>859</v>
      </c>
      <c r="X596" s="9" t="str">
        <f t="shared" si="51"/>
        <v>j859</v>
      </c>
    </row>
    <row r="597" spans="1:24" x14ac:dyDescent="0.2">
      <c r="A597" s="9" t="s">
        <v>425</v>
      </c>
      <c r="B597" s="9">
        <v>1</v>
      </c>
      <c r="C597" s="17">
        <v>10</v>
      </c>
      <c r="D597" s="20"/>
      <c r="E597" s="23">
        <v>45236</v>
      </c>
      <c r="F597" s="23" t="s">
        <v>362</v>
      </c>
      <c r="G597" s="25" t="s">
        <v>79</v>
      </c>
      <c r="H597" s="24">
        <v>1</v>
      </c>
      <c r="I597" s="25" t="s">
        <v>72</v>
      </c>
      <c r="J597" s="32">
        <v>45214</v>
      </c>
      <c r="K597" s="24">
        <v>0.7</v>
      </c>
      <c r="L597" s="25">
        <f t="shared" si="53"/>
        <v>679</v>
      </c>
      <c r="M597" s="4">
        <f>IF(Table3[[#This Row],[Afrondingsdatum YB]]="N/A","-",Table3[[#This Row],[Afrondingsdatum YB]]-Table3[[#This Row],[StartDatum]])</f>
        <v>45214</v>
      </c>
      <c r="N597" s="4"/>
      <c r="O597">
        <f t="shared" si="49"/>
        <v>108</v>
      </c>
      <c r="P597">
        <f t="shared" si="54"/>
        <v>97</v>
      </c>
      <c r="Q597">
        <f t="shared" si="54"/>
        <v>109</v>
      </c>
      <c r="R597">
        <f t="shared" si="54"/>
        <v>121</v>
      </c>
      <c r="S597">
        <f t="shared" si="54"/>
        <v>97</v>
      </c>
      <c r="T597">
        <f t="shared" si="54"/>
        <v>101</v>
      </c>
      <c r="U597">
        <f t="shared" si="54"/>
        <v>46</v>
      </c>
      <c r="V597">
        <f t="shared" si="54"/>
        <v>101</v>
      </c>
      <c r="W597" s="5">
        <f t="shared" si="50"/>
        <v>859</v>
      </c>
      <c r="X597" s="9" t="str">
        <f t="shared" si="51"/>
        <v>a859</v>
      </c>
    </row>
    <row r="598" spans="1:24" x14ac:dyDescent="0.2">
      <c r="A598" s="9" t="s">
        <v>425</v>
      </c>
      <c r="B598" s="9">
        <v>1</v>
      </c>
      <c r="C598" s="17">
        <v>10</v>
      </c>
      <c r="D598" s="20"/>
      <c r="E598" s="18">
        <v>45236</v>
      </c>
      <c r="F598" s="18" t="s">
        <v>363</v>
      </c>
      <c r="G598" s="20" t="s">
        <v>42</v>
      </c>
      <c r="H598" s="19">
        <v>1</v>
      </c>
      <c r="I598" s="20" t="s">
        <v>121</v>
      </c>
      <c r="J598" s="34">
        <v>45227</v>
      </c>
      <c r="K598" s="19">
        <v>0.7</v>
      </c>
      <c r="L598" s="20">
        <f t="shared" si="53"/>
        <v>687</v>
      </c>
      <c r="M598" s="4">
        <f>IF(Table3[[#This Row],[Afrondingsdatum YB]]="N/A","-",Table3[[#This Row],[Afrondingsdatum YB]]-Table3[[#This Row],[StartDatum]])</f>
        <v>45227</v>
      </c>
      <c r="N598" s="4"/>
      <c r="O598">
        <f t="shared" si="49"/>
        <v>108</v>
      </c>
      <c r="P598">
        <f t="shared" si="54"/>
        <v>105</v>
      </c>
      <c r="Q598">
        <f t="shared" si="54"/>
        <v>110</v>
      </c>
      <c r="R598">
        <f t="shared" si="54"/>
        <v>100</v>
      </c>
      <c r="S598">
        <f t="shared" si="54"/>
        <v>121</v>
      </c>
      <c r="T598">
        <f t="shared" si="54"/>
        <v>46</v>
      </c>
      <c r="U598">
        <f t="shared" si="54"/>
        <v>97</v>
      </c>
      <c r="V598">
        <f t="shared" si="54"/>
        <v>110</v>
      </c>
      <c r="W598" s="5">
        <f t="shared" si="50"/>
        <v>890</v>
      </c>
      <c r="X598" s="9" t="str">
        <f t="shared" si="51"/>
        <v>i890</v>
      </c>
    </row>
    <row r="599" spans="1:24" x14ac:dyDescent="0.2">
      <c r="A599" s="9" t="s">
        <v>425</v>
      </c>
      <c r="B599" s="9">
        <v>1</v>
      </c>
      <c r="C599" s="17">
        <v>10</v>
      </c>
      <c r="D599" s="20"/>
      <c r="E599" s="23">
        <v>45236</v>
      </c>
      <c r="F599" s="23" t="s">
        <v>363</v>
      </c>
      <c r="G599" s="25" t="s">
        <v>43</v>
      </c>
      <c r="H599" s="24">
        <v>0.99</v>
      </c>
      <c r="I599" s="25" t="s">
        <v>244</v>
      </c>
      <c r="J599" s="25" t="s">
        <v>7</v>
      </c>
      <c r="K599" s="25" t="s">
        <v>9</v>
      </c>
      <c r="L599" s="25">
        <f t="shared" si="53"/>
        <v>689</v>
      </c>
      <c r="M599" s="4" t="str">
        <f>IF(Table3[[#This Row],[Afrondingsdatum YB]]="N/A","-",Table3[[#This Row],[Afrondingsdatum YB]]-Table3[[#This Row],[StartDatum]])</f>
        <v>-</v>
      </c>
      <c r="N599" s="4"/>
      <c r="O599">
        <f t="shared" si="49"/>
        <v>108</v>
      </c>
      <c r="P599">
        <f t="shared" si="54"/>
        <v>117</v>
      </c>
      <c r="Q599">
        <f t="shared" si="54"/>
        <v>99</v>
      </c>
      <c r="R599">
        <f t="shared" si="54"/>
        <v>46</v>
      </c>
      <c r="S599">
        <f t="shared" si="54"/>
        <v>98</v>
      </c>
      <c r="T599">
        <f t="shared" si="54"/>
        <v>111</v>
      </c>
      <c r="U599">
        <f t="shared" si="54"/>
        <v>110</v>
      </c>
      <c r="V599">
        <f t="shared" si="54"/>
        <v>100</v>
      </c>
      <c r="W599" s="5">
        <f t="shared" si="50"/>
        <v>894</v>
      </c>
      <c r="X599" s="9" t="str">
        <f t="shared" si="51"/>
        <v>u894</v>
      </c>
    </row>
    <row r="600" spans="1:24" x14ac:dyDescent="0.2">
      <c r="A600" s="9" t="s">
        <v>425</v>
      </c>
      <c r="B600" s="9">
        <v>1</v>
      </c>
      <c r="C600" s="17">
        <v>10</v>
      </c>
      <c r="D600" s="20"/>
      <c r="E600" s="18">
        <v>45236</v>
      </c>
      <c r="F600" s="18" t="s">
        <v>364</v>
      </c>
      <c r="G600" s="20" t="s">
        <v>44</v>
      </c>
      <c r="H600" s="19">
        <v>1</v>
      </c>
      <c r="I600" s="20" t="s">
        <v>102</v>
      </c>
      <c r="J600" s="34">
        <v>45217</v>
      </c>
      <c r="K600" s="19">
        <v>0.73</v>
      </c>
      <c r="L600" s="20">
        <f t="shared" si="53"/>
        <v>680</v>
      </c>
      <c r="M600" s="4">
        <f>IF(Table3[[#This Row],[Afrondingsdatum YB]]="N/A","-",Table3[[#This Row],[Afrondingsdatum YB]]-Table3[[#This Row],[StartDatum]])</f>
        <v>45217</v>
      </c>
      <c r="N600" s="4"/>
      <c r="O600">
        <f t="shared" si="49"/>
        <v>108</v>
      </c>
      <c r="P600">
        <f t="shared" si="54"/>
        <v>117</v>
      </c>
      <c r="Q600">
        <f t="shared" si="54"/>
        <v>99</v>
      </c>
      <c r="R600">
        <f t="shared" si="54"/>
        <v>97</v>
      </c>
      <c r="S600">
        <f t="shared" si="54"/>
        <v>115</v>
      </c>
      <c r="T600">
        <f t="shared" si="54"/>
        <v>46</v>
      </c>
      <c r="U600">
        <f t="shared" si="54"/>
        <v>98</v>
      </c>
      <c r="V600">
        <f t="shared" si="54"/>
        <v>114</v>
      </c>
      <c r="W600" s="5">
        <f t="shared" si="50"/>
        <v>861</v>
      </c>
      <c r="X600" s="9" t="str">
        <f t="shared" si="51"/>
        <v>u861</v>
      </c>
    </row>
    <row r="601" spans="1:24" x14ac:dyDescent="0.2">
      <c r="A601" s="9" t="s">
        <v>425</v>
      </c>
      <c r="B601" s="9">
        <v>1</v>
      </c>
      <c r="C601" s="17">
        <v>10</v>
      </c>
      <c r="D601" s="20"/>
      <c r="E601" s="23">
        <v>45236</v>
      </c>
      <c r="F601" s="23" t="s">
        <v>363</v>
      </c>
      <c r="G601" s="25" t="s">
        <v>81</v>
      </c>
      <c r="H601" s="24">
        <v>1</v>
      </c>
      <c r="I601" s="25" t="s">
        <v>229</v>
      </c>
      <c r="J601" s="32">
        <v>45228</v>
      </c>
      <c r="K601" s="24">
        <v>0.7</v>
      </c>
      <c r="L601" s="25">
        <f t="shared" si="53"/>
        <v>668</v>
      </c>
      <c r="M601" s="4">
        <f>IF(Table3[[#This Row],[Afrondingsdatum YB]]="N/A","-",Table3[[#This Row],[Afrondingsdatum YB]]-Table3[[#This Row],[StartDatum]])</f>
        <v>45228</v>
      </c>
      <c r="N601" s="4"/>
      <c r="O601">
        <f t="shared" si="49"/>
        <v>76</v>
      </c>
      <c r="P601">
        <f t="shared" si="54"/>
        <v>117</v>
      </c>
      <c r="Q601">
        <f t="shared" si="54"/>
        <v>99</v>
      </c>
      <c r="R601">
        <f t="shared" si="54"/>
        <v>97</v>
      </c>
      <c r="S601">
        <f t="shared" si="54"/>
        <v>115</v>
      </c>
      <c r="T601">
        <f t="shared" si="54"/>
        <v>46</v>
      </c>
      <c r="U601">
        <f t="shared" si="54"/>
        <v>118</v>
      </c>
      <c r="V601">
        <f t="shared" si="54"/>
        <v>97</v>
      </c>
      <c r="W601" s="5">
        <f t="shared" si="50"/>
        <v>832</v>
      </c>
      <c r="X601" s="9" t="str">
        <f t="shared" si="51"/>
        <v>u832</v>
      </c>
    </row>
    <row r="602" spans="1:24" x14ac:dyDescent="0.2">
      <c r="A602" s="9" t="s">
        <v>425</v>
      </c>
      <c r="B602" s="9">
        <v>1</v>
      </c>
      <c r="C602" s="17">
        <v>10</v>
      </c>
      <c r="D602" s="20"/>
      <c r="E602" s="18">
        <v>45236</v>
      </c>
      <c r="F602" s="18" t="s">
        <v>364</v>
      </c>
      <c r="G602" s="20" t="s">
        <v>45</v>
      </c>
      <c r="H602" s="19">
        <v>0.57999999999999996</v>
      </c>
      <c r="I602" s="20" t="s">
        <v>175</v>
      </c>
      <c r="J602" s="20" t="s">
        <v>7</v>
      </c>
      <c r="K602" s="20" t="s">
        <v>9</v>
      </c>
      <c r="L602" s="20">
        <f t="shared" si="53"/>
        <v>757</v>
      </c>
      <c r="M602" s="4" t="str">
        <f>IF(Table3[[#This Row],[Afrondingsdatum YB]]="N/A","-",Table3[[#This Row],[Afrondingsdatum YB]]-Table3[[#This Row],[StartDatum]])</f>
        <v>-</v>
      </c>
      <c r="N602" s="4"/>
      <c r="O602">
        <f t="shared" si="49"/>
        <v>109</v>
      </c>
      <c r="P602">
        <f t="shared" si="54"/>
        <v>97</v>
      </c>
      <c r="Q602">
        <f t="shared" si="54"/>
        <v>114</v>
      </c>
      <c r="R602">
        <f t="shared" si="54"/>
        <v>116</v>
      </c>
      <c r="S602">
        <f t="shared" si="54"/>
        <v>105</v>
      </c>
      <c r="T602">
        <f t="shared" si="54"/>
        <v>106</v>
      </c>
      <c r="U602">
        <f t="shared" si="54"/>
        <v>110</v>
      </c>
      <c r="V602">
        <f t="shared" si="54"/>
        <v>46</v>
      </c>
      <c r="W602" s="5">
        <f t="shared" si="50"/>
        <v>896</v>
      </c>
      <c r="X602" s="9" t="str">
        <f t="shared" si="51"/>
        <v>a896</v>
      </c>
    </row>
    <row r="603" spans="1:24" x14ac:dyDescent="0.2">
      <c r="A603" s="9" t="s">
        <v>425</v>
      </c>
      <c r="B603" s="9">
        <v>1</v>
      </c>
      <c r="C603" s="17">
        <v>10</v>
      </c>
      <c r="D603" s="20"/>
      <c r="E603" s="23">
        <v>45236</v>
      </c>
      <c r="F603" s="23" t="s">
        <v>364</v>
      </c>
      <c r="G603" s="25" t="s">
        <v>46</v>
      </c>
      <c r="H603" s="24">
        <v>1</v>
      </c>
      <c r="I603" s="25" t="s">
        <v>210</v>
      </c>
      <c r="J603" s="32">
        <v>45217</v>
      </c>
      <c r="K603" s="24">
        <v>0.85</v>
      </c>
      <c r="L603" s="25">
        <f t="shared" si="53"/>
        <v>682</v>
      </c>
      <c r="M603" s="4">
        <f>IF(Table3[[#This Row],[Afrondingsdatum YB]]="N/A","-",Table3[[#This Row],[Afrondingsdatum YB]]-Table3[[#This Row],[StartDatum]])</f>
        <v>45217</v>
      </c>
      <c r="N603" s="4"/>
      <c r="O603">
        <f t="shared" si="49"/>
        <v>109</v>
      </c>
      <c r="P603">
        <f t="shared" si="54"/>
        <v>97</v>
      </c>
      <c r="Q603">
        <f t="shared" si="54"/>
        <v>114</v>
      </c>
      <c r="R603">
        <f t="shared" si="54"/>
        <v>119</v>
      </c>
      <c r="S603">
        <f t="shared" si="54"/>
        <v>97</v>
      </c>
      <c r="T603">
        <f t="shared" si="54"/>
        <v>46</v>
      </c>
      <c r="U603">
        <f t="shared" si="54"/>
        <v>100</v>
      </c>
      <c r="V603">
        <f t="shared" si="54"/>
        <v>97</v>
      </c>
      <c r="W603" s="5">
        <f t="shared" si="50"/>
        <v>869</v>
      </c>
      <c r="X603" s="9" t="str">
        <f t="shared" si="51"/>
        <v>a869</v>
      </c>
    </row>
    <row r="604" spans="1:24" x14ac:dyDescent="0.2">
      <c r="A604" s="9" t="s">
        <v>425</v>
      </c>
      <c r="B604" s="9">
        <v>1</v>
      </c>
      <c r="C604" s="17">
        <v>10</v>
      </c>
      <c r="D604" s="20"/>
      <c r="E604" s="18">
        <v>45236</v>
      </c>
      <c r="F604" s="18" t="s">
        <v>362</v>
      </c>
      <c r="G604" s="20" t="s">
        <v>245</v>
      </c>
      <c r="H604" s="19">
        <v>0.14000000000000001</v>
      </c>
      <c r="I604" s="20" t="s">
        <v>246</v>
      </c>
      <c r="J604" s="20" t="s">
        <v>7</v>
      </c>
      <c r="K604" s="20" t="s">
        <v>9</v>
      </c>
      <c r="L604" s="20">
        <f t="shared" si="53"/>
        <v>692</v>
      </c>
      <c r="M604" s="4" t="str">
        <f>IF(Table3[[#This Row],[Afrondingsdatum YB]]="N/A","-",Table3[[#This Row],[Afrondingsdatum YB]]-Table3[[#This Row],[StartDatum]])</f>
        <v>-</v>
      </c>
      <c r="N604" s="4"/>
      <c r="O604">
        <f t="shared" si="49"/>
        <v>109</v>
      </c>
      <c r="P604">
        <f t="shared" si="54"/>
        <v>97</v>
      </c>
      <c r="Q604">
        <f t="shared" si="54"/>
        <v>114</v>
      </c>
      <c r="R604">
        <f t="shared" si="54"/>
        <v>119</v>
      </c>
      <c r="S604">
        <f t="shared" si="54"/>
        <v>97</v>
      </c>
      <c r="T604">
        <f t="shared" si="54"/>
        <v>110</v>
      </c>
      <c r="U604">
        <f t="shared" si="54"/>
        <v>46</v>
      </c>
      <c r="V604">
        <f t="shared" si="54"/>
        <v>97</v>
      </c>
      <c r="W604" s="5">
        <f t="shared" si="50"/>
        <v>879</v>
      </c>
      <c r="X604" s="9" t="str">
        <f t="shared" si="51"/>
        <v>a879</v>
      </c>
    </row>
    <row r="605" spans="1:24" x14ac:dyDescent="0.2">
      <c r="A605" s="9" t="s">
        <v>425</v>
      </c>
      <c r="B605" s="9">
        <v>1</v>
      </c>
      <c r="C605" s="17">
        <v>10</v>
      </c>
      <c r="D605" s="20"/>
      <c r="E605" s="23">
        <v>45236</v>
      </c>
      <c r="F605" s="23" t="s">
        <v>364</v>
      </c>
      <c r="G605" s="25" t="s">
        <v>47</v>
      </c>
      <c r="H605" s="24">
        <v>0</v>
      </c>
      <c r="I605" s="25" t="s">
        <v>8</v>
      </c>
      <c r="J605" s="25" t="s">
        <v>7</v>
      </c>
      <c r="K605" s="25" t="s">
        <v>9</v>
      </c>
      <c r="L605" s="25">
        <f t="shared" si="53"/>
        <v>673</v>
      </c>
      <c r="M605" s="4" t="str">
        <f>IF(Table3[[#This Row],[Afrondingsdatum YB]]="N/A","-",Table3[[#This Row],[Afrondingsdatum YB]]-Table3[[#This Row],[StartDatum]])</f>
        <v>-</v>
      </c>
      <c r="N605" s="4"/>
      <c r="O605">
        <f t="shared" si="49"/>
        <v>109</v>
      </c>
      <c r="P605">
        <f t="shared" si="54"/>
        <v>101</v>
      </c>
      <c r="Q605">
        <f t="shared" si="54"/>
        <v>101</v>
      </c>
      <c r="R605">
        <f t="shared" si="54"/>
        <v>115</v>
      </c>
      <c r="S605">
        <f t="shared" si="54"/>
        <v>46</v>
      </c>
      <c r="T605">
        <f t="shared" si="54"/>
        <v>100</v>
      </c>
      <c r="U605">
        <f t="shared" si="54"/>
        <v>101</v>
      </c>
      <c r="V605">
        <f t="shared" si="54"/>
        <v>46</v>
      </c>
      <c r="W605" s="5">
        <f t="shared" si="50"/>
        <v>784</v>
      </c>
      <c r="X605" s="9" t="str">
        <f t="shared" si="51"/>
        <v>e784</v>
      </c>
    </row>
    <row r="606" spans="1:24" x14ac:dyDescent="0.2">
      <c r="A606" s="9" t="s">
        <v>425</v>
      </c>
      <c r="B606" s="9">
        <v>1</v>
      </c>
      <c r="C606" s="17">
        <v>10</v>
      </c>
      <c r="D606" s="20"/>
      <c r="E606" s="18">
        <v>45236</v>
      </c>
      <c r="F606" s="18" t="s">
        <v>363</v>
      </c>
      <c r="G606" s="20" t="s">
        <v>48</v>
      </c>
      <c r="H606" s="19">
        <v>1</v>
      </c>
      <c r="I606" s="20" t="s">
        <v>189</v>
      </c>
      <c r="J606" s="34">
        <v>45226</v>
      </c>
      <c r="K606" s="19">
        <v>0.8</v>
      </c>
      <c r="L606" s="20">
        <f t="shared" si="53"/>
        <v>675</v>
      </c>
      <c r="M606" s="4">
        <f>IF(Table3[[#This Row],[Afrondingsdatum YB]]="N/A","-",Table3[[#This Row],[Afrondingsdatum YB]]-Table3[[#This Row],[StartDatum]])</f>
        <v>45226</v>
      </c>
      <c r="N606" s="4"/>
      <c r="O606">
        <f t="shared" si="49"/>
        <v>109</v>
      </c>
      <c r="P606">
        <f t="shared" si="54"/>
        <v>105</v>
      </c>
      <c r="Q606">
        <f t="shared" si="54"/>
        <v>108</v>
      </c>
      <c r="R606">
        <f t="shared" si="54"/>
        <v>97</v>
      </c>
      <c r="S606">
        <f t="shared" si="54"/>
        <v>110</v>
      </c>
      <c r="T606">
        <f t="shared" si="54"/>
        <v>46</v>
      </c>
      <c r="U606">
        <f t="shared" si="54"/>
        <v>100</v>
      </c>
      <c r="V606">
        <f t="shared" si="54"/>
        <v>105</v>
      </c>
      <c r="W606" s="5">
        <f t="shared" si="50"/>
        <v>871</v>
      </c>
      <c r="X606" s="9" t="str">
        <f t="shared" si="51"/>
        <v>i871</v>
      </c>
    </row>
    <row r="607" spans="1:24" x14ac:dyDescent="0.2">
      <c r="A607" s="9" t="s">
        <v>425</v>
      </c>
      <c r="B607" s="9">
        <v>1</v>
      </c>
      <c r="C607" s="17">
        <v>10</v>
      </c>
      <c r="D607" s="20"/>
      <c r="E607" s="23">
        <v>45236</v>
      </c>
      <c r="F607" s="23" t="s">
        <v>364</v>
      </c>
      <c r="G607" s="25" t="s">
        <v>49</v>
      </c>
      <c r="H607" s="24">
        <v>1</v>
      </c>
      <c r="I607" s="25" t="s">
        <v>211</v>
      </c>
      <c r="J607" s="32">
        <v>45217</v>
      </c>
      <c r="K607" s="24">
        <v>0.73</v>
      </c>
      <c r="L607" s="25">
        <f t="shared" si="53"/>
        <v>690</v>
      </c>
      <c r="M607" s="4">
        <f>IF(Table3[[#This Row],[Afrondingsdatum YB]]="N/A","-",Table3[[#This Row],[Afrondingsdatum YB]]-Table3[[#This Row],[StartDatum]])</f>
        <v>45217</v>
      </c>
      <c r="N607" s="4"/>
      <c r="O607">
        <f t="shared" si="49"/>
        <v>109</v>
      </c>
      <c r="P607">
        <f t="shared" si="54"/>
        <v>105</v>
      </c>
      <c r="Q607">
        <f t="shared" si="54"/>
        <v>114</v>
      </c>
      <c r="R607">
        <f t="shared" si="54"/>
        <v>110</v>
      </c>
      <c r="S607">
        <f t="shared" si="54"/>
        <v>97</v>
      </c>
      <c r="T607">
        <f t="shared" si="54"/>
        <v>46</v>
      </c>
      <c r="U607">
        <f t="shared" si="54"/>
        <v>109</v>
      </c>
      <c r="V607">
        <f t="shared" si="54"/>
        <v>111</v>
      </c>
      <c r="W607" s="5">
        <f t="shared" si="50"/>
        <v>894</v>
      </c>
      <c r="X607" s="9" t="str">
        <f t="shared" si="51"/>
        <v>i894</v>
      </c>
    </row>
    <row r="608" spans="1:24" x14ac:dyDescent="0.2">
      <c r="A608" s="9" t="s">
        <v>425</v>
      </c>
      <c r="B608" s="9">
        <v>1</v>
      </c>
      <c r="C608" s="17">
        <v>10</v>
      </c>
      <c r="D608" s="20"/>
      <c r="E608" s="18">
        <v>45236</v>
      </c>
      <c r="F608" s="18" t="s">
        <v>364</v>
      </c>
      <c r="G608" s="20" t="s">
        <v>50</v>
      </c>
      <c r="H608" s="19">
        <v>1</v>
      </c>
      <c r="I608" s="20" t="s">
        <v>212</v>
      </c>
      <c r="J608" s="34">
        <v>45217</v>
      </c>
      <c r="K608" s="19">
        <v>0.75</v>
      </c>
      <c r="L608" s="20">
        <f t="shared" si="53"/>
        <v>731</v>
      </c>
      <c r="M608" s="4">
        <f>IF(Table3[[#This Row],[Afrondingsdatum YB]]="N/A","-",Table3[[#This Row],[Afrondingsdatum YB]]-Table3[[#This Row],[StartDatum]])</f>
        <v>45217</v>
      </c>
      <c r="N608" s="4"/>
      <c r="O608">
        <f t="shared" si="49"/>
        <v>109</v>
      </c>
      <c r="P608">
        <f t="shared" si="54"/>
        <v>111</v>
      </c>
      <c r="Q608">
        <f t="shared" si="54"/>
        <v>104</v>
      </c>
      <c r="R608">
        <f t="shared" si="54"/>
        <v>97</v>
      </c>
      <c r="S608">
        <f t="shared" si="54"/>
        <v>109</v>
      </c>
      <c r="T608">
        <f t="shared" si="54"/>
        <v>101</v>
      </c>
      <c r="U608">
        <f t="shared" si="54"/>
        <v>100</v>
      </c>
      <c r="V608">
        <f t="shared" si="54"/>
        <v>46</v>
      </c>
      <c r="W608" s="5">
        <f t="shared" si="50"/>
        <v>857</v>
      </c>
      <c r="X608" s="9" t="str">
        <f t="shared" si="51"/>
        <v>o857</v>
      </c>
    </row>
    <row r="609" spans="1:24" x14ac:dyDescent="0.2">
      <c r="A609" s="9" t="s">
        <v>425</v>
      </c>
      <c r="B609" s="9">
        <v>1</v>
      </c>
      <c r="C609" s="17">
        <v>10</v>
      </c>
      <c r="D609" s="20"/>
      <c r="E609" s="23">
        <v>45236</v>
      </c>
      <c r="F609" s="23" t="s">
        <v>362</v>
      </c>
      <c r="G609" s="25" t="s">
        <v>127</v>
      </c>
      <c r="H609" s="24">
        <v>7.0000000000000007E-2</v>
      </c>
      <c r="I609" s="25" t="s">
        <v>230</v>
      </c>
      <c r="J609" s="25" t="s">
        <v>7</v>
      </c>
      <c r="K609" s="25" t="s">
        <v>9</v>
      </c>
      <c r="L609" s="25">
        <f t="shared" si="53"/>
        <v>758</v>
      </c>
      <c r="M609" s="4" t="str">
        <f>IF(Table3[[#This Row],[Afrondingsdatum YB]]="N/A","-",Table3[[#This Row],[Afrondingsdatum YB]]-Table3[[#This Row],[StartDatum]])</f>
        <v>-</v>
      </c>
      <c r="N609" s="4"/>
      <c r="O609">
        <f t="shared" si="49"/>
        <v>109</v>
      </c>
      <c r="P609">
        <f t="shared" si="54"/>
        <v>111</v>
      </c>
      <c r="Q609">
        <f t="shared" si="54"/>
        <v>107</v>
      </c>
      <c r="R609">
        <f t="shared" si="54"/>
        <v>104</v>
      </c>
      <c r="S609">
        <f t="shared" si="54"/>
        <v>116</v>
      </c>
      <c r="T609">
        <f t="shared" si="54"/>
        <v>97</v>
      </c>
      <c r="U609">
        <f t="shared" si="54"/>
        <v>114</v>
      </c>
      <c r="V609">
        <f t="shared" si="54"/>
        <v>46</v>
      </c>
      <c r="W609" s="5">
        <f t="shared" si="50"/>
        <v>885</v>
      </c>
      <c r="X609" s="9" t="str">
        <f t="shared" si="51"/>
        <v>o885</v>
      </c>
    </row>
    <row r="610" spans="1:24" x14ac:dyDescent="0.2">
      <c r="A610" s="9" t="s">
        <v>425</v>
      </c>
      <c r="B610" s="9">
        <v>1</v>
      </c>
      <c r="C610" s="17">
        <v>10</v>
      </c>
      <c r="D610" s="20"/>
      <c r="E610" s="18">
        <v>45236</v>
      </c>
      <c r="F610" s="18" t="s">
        <v>363</v>
      </c>
      <c r="G610" s="20" t="s">
        <v>51</v>
      </c>
      <c r="H610" s="19">
        <v>1</v>
      </c>
      <c r="I610" s="20" t="s">
        <v>231</v>
      </c>
      <c r="J610" s="34">
        <v>45228</v>
      </c>
      <c r="K610" s="19">
        <v>0.75</v>
      </c>
      <c r="L610" s="20">
        <f t="shared" si="53"/>
        <v>742</v>
      </c>
      <c r="M610" s="4">
        <f>IF(Table3[[#This Row],[Afrondingsdatum YB]]="N/A","-",Table3[[#This Row],[Afrondingsdatum YB]]-Table3[[#This Row],[StartDatum]])</f>
        <v>45228</v>
      </c>
      <c r="N610" s="4"/>
      <c r="O610">
        <f t="shared" si="49"/>
        <v>110</v>
      </c>
      <c r="P610">
        <f t="shared" si="54"/>
        <v>97</v>
      </c>
      <c r="Q610">
        <f t="shared" si="54"/>
        <v>111</v>
      </c>
      <c r="R610">
        <f t="shared" si="54"/>
        <v>117</v>
      </c>
      <c r="S610">
        <f t="shared" si="54"/>
        <v>102</v>
      </c>
      <c r="T610">
        <f t="shared" si="54"/>
        <v>97</v>
      </c>
      <c r="U610">
        <f t="shared" si="54"/>
        <v>108</v>
      </c>
      <c r="V610">
        <f t="shared" si="54"/>
        <v>46</v>
      </c>
      <c r="W610" s="5">
        <f t="shared" si="50"/>
        <v>874</v>
      </c>
      <c r="X610" s="9" t="str">
        <f t="shared" si="51"/>
        <v>a874</v>
      </c>
    </row>
    <row r="611" spans="1:24" x14ac:dyDescent="0.2">
      <c r="A611" s="9" t="s">
        <v>425</v>
      </c>
      <c r="B611" s="9">
        <v>1</v>
      </c>
      <c r="C611" s="17">
        <v>10</v>
      </c>
      <c r="D611" s="20"/>
      <c r="E611" s="23">
        <v>45236</v>
      </c>
      <c r="F611" s="23" t="s">
        <v>362</v>
      </c>
      <c r="G611" s="25" t="s">
        <v>52</v>
      </c>
      <c r="H611" s="24">
        <v>0</v>
      </c>
      <c r="I611" s="25" t="s">
        <v>8</v>
      </c>
      <c r="J611" s="25" t="s">
        <v>7</v>
      </c>
      <c r="K611" s="25" t="s">
        <v>9</v>
      </c>
      <c r="L611" s="25">
        <f t="shared" si="53"/>
        <v>684</v>
      </c>
      <c r="M611" s="4" t="str">
        <f>IF(Table3[[#This Row],[Afrondingsdatum YB]]="N/A","-",Table3[[#This Row],[Afrondingsdatum YB]]-Table3[[#This Row],[StartDatum]])</f>
        <v>-</v>
      </c>
      <c r="N611" s="4"/>
      <c r="O611">
        <f t="shared" ref="O611:V674" si="55">CODE(MID($G611,O$1,1))</f>
        <v>110</v>
      </c>
      <c r="P611">
        <f t="shared" si="54"/>
        <v>105</v>
      </c>
      <c r="Q611">
        <f t="shared" si="54"/>
        <v>99</v>
      </c>
      <c r="R611">
        <f t="shared" si="54"/>
        <v>107</v>
      </c>
      <c r="S611">
        <f t="shared" si="54"/>
        <v>46</v>
      </c>
      <c r="T611">
        <f t="shared" si="54"/>
        <v>106</v>
      </c>
      <c r="U611">
        <f t="shared" si="54"/>
        <v>111</v>
      </c>
      <c r="V611">
        <f t="shared" si="54"/>
        <v>111</v>
      </c>
      <c r="W611" s="5">
        <f t="shared" si="50"/>
        <v>860</v>
      </c>
      <c r="X611" s="9" t="str">
        <f t="shared" si="51"/>
        <v>i860</v>
      </c>
    </row>
    <row r="612" spans="1:24" x14ac:dyDescent="0.2">
      <c r="A612" s="9" t="s">
        <v>425</v>
      </c>
      <c r="B612" s="9">
        <v>1</v>
      </c>
      <c r="C612" s="17">
        <v>10</v>
      </c>
      <c r="D612" s="20"/>
      <c r="E612" s="18">
        <v>45236</v>
      </c>
      <c r="F612" s="18" t="s">
        <v>364</v>
      </c>
      <c r="G612" s="20" t="s">
        <v>53</v>
      </c>
      <c r="H612" s="19">
        <v>1</v>
      </c>
      <c r="I612" s="20" t="s">
        <v>194</v>
      </c>
      <c r="J612" s="34">
        <v>45234</v>
      </c>
      <c r="K612" s="19">
        <v>0.78</v>
      </c>
      <c r="L612" s="20">
        <f t="shared" si="53"/>
        <v>737</v>
      </c>
      <c r="M612" s="4">
        <f>IF(Table3[[#This Row],[Afrondingsdatum YB]]="N/A","-",Table3[[#This Row],[Afrondingsdatum YB]]-Table3[[#This Row],[StartDatum]])</f>
        <v>45234</v>
      </c>
      <c r="N612" s="4"/>
      <c r="O612">
        <f t="shared" si="55"/>
        <v>110</v>
      </c>
      <c r="P612">
        <f t="shared" si="54"/>
        <v>105</v>
      </c>
      <c r="Q612">
        <f t="shared" si="54"/>
        <v>99</v>
      </c>
      <c r="R612">
        <f t="shared" si="54"/>
        <v>107</v>
      </c>
      <c r="S612">
        <f t="shared" si="54"/>
        <v>111</v>
      </c>
      <c r="T612">
        <f t="shared" si="54"/>
        <v>108</v>
      </c>
      <c r="U612">
        <f t="shared" si="54"/>
        <v>97</v>
      </c>
      <c r="V612">
        <f t="shared" si="54"/>
        <v>115</v>
      </c>
      <c r="W612" s="5">
        <f t="shared" si="50"/>
        <v>917</v>
      </c>
      <c r="X612" s="9" t="str">
        <f t="shared" si="51"/>
        <v>i917</v>
      </c>
    </row>
    <row r="613" spans="1:24" x14ac:dyDescent="0.2">
      <c r="A613" s="9" t="s">
        <v>425</v>
      </c>
      <c r="B613" s="9">
        <v>1</v>
      </c>
      <c r="C613" s="17">
        <v>10</v>
      </c>
      <c r="D613" s="20"/>
      <c r="E613" s="23">
        <v>45236</v>
      </c>
      <c r="F613" s="23" t="s">
        <v>364</v>
      </c>
      <c r="G613" s="25" t="s">
        <v>54</v>
      </c>
      <c r="H613" s="24">
        <v>0.17</v>
      </c>
      <c r="I613" s="25" t="s">
        <v>247</v>
      </c>
      <c r="J613" s="25" t="s">
        <v>7</v>
      </c>
      <c r="K613" s="25" t="s">
        <v>9</v>
      </c>
      <c r="L613" s="25">
        <f t="shared" si="53"/>
        <v>705</v>
      </c>
      <c r="M613" s="4" t="str">
        <f>IF(Table3[[#This Row],[Afrondingsdatum YB]]="N/A","-",Table3[[#This Row],[Afrondingsdatum YB]]-Table3[[#This Row],[StartDatum]])</f>
        <v>-</v>
      </c>
      <c r="N613" s="4"/>
      <c r="O613">
        <f t="shared" si="55"/>
        <v>110</v>
      </c>
      <c r="P613">
        <f t="shared" si="54"/>
        <v>105</v>
      </c>
      <c r="Q613">
        <f t="shared" si="54"/>
        <v>115</v>
      </c>
      <c r="R613">
        <f t="shared" si="54"/>
        <v>114</v>
      </c>
      <c r="S613">
        <f t="shared" si="54"/>
        <v>105</v>
      </c>
      <c r="T613">
        <f t="shared" si="54"/>
        <v>110</v>
      </c>
      <c r="U613">
        <f t="shared" si="54"/>
        <v>46</v>
      </c>
      <c r="V613">
        <f t="shared" si="54"/>
        <v>104</v>
      </c>
      <c r="W613" s="5">
        <f t="shared" si="50"/>
        <v>901</v>
      </c>
      <c r="X613" s="9" t="str">
        <f t="shared" si="51"/>
        <v>i901</v>
      </c>
    </row>
    <row r="614" spans="1:24" x14ac:dyDescent="0.2">
      <c r="A614" s="9" t="s">
        <v>425</v>
      </c>
      <c r="B614" s="9">
        <v>1</v>
      </c>
      <c r="C614" s="17">
        <v>10</v>
      </c>
      <c r="D614" s="20"/>
      <c r="E614" s="18">
        <v>45236</v>
      </c>
      <c r="F614" s="18" t="s">
        <v>364</v>
      </c>
      <c r="G614" s="20" t="s">
        <v>55</v>
      </c>
      <c r="H614" s="19">
        <v>1</v>
      </c>
      <c r="I614" s="20" t="s">
        <v>214</v>
      </c>
      <c r="J614" s="34">
        <v>45217</v>
      </c>
      <c r="K614" s="19">
        <v>0.95</v>
      </c>
      <c r="L614" s="20">
        <f t="shared" si="53"/>
        <v>681</v>
      </c>
      <c r="M614" s="4">
        <f>IF(Table3[[#This Row],[Afrondingsdatum YB]]="N/A","-",Table3[[#This Row],[Afrondingsdatum YB]]-Table3[[#This Row],[StartDatum]])</f>
        <v>45217</v>
      </c>
      <c r="N614" s="4"/>
      <c r="O614">
        <f t="shared" si="55"/>
        <v>110</v>
      </c>
      <c r="P614">
        <f t="shared" si="54"/>
        <v>111</v>
      </c>
      <c r="Q614">
        <f t="shared" si="54"/>
        <v>101</v>
      </c>
      <c r="R614">
        <f t="shared" si="54"/>
        <v>108</v>
      </c>
      <c r="S614">
        <f t="shared" si="54"/>
        <v>108</v>
      </c>
      <c r="T614">
        <f t="shared" si="54"/>
        <v>97</v>
      </c>
      <c r="U614">
        <f t="shared" si="54"/>
        <v>46</v>
      </c>
      <c r="V614">
        <f t="shared" si="54"/>
        <v>108</v>
      </c>
      <c r="W614" s="5">
        <f t="shared" si="50"/>
        <v>855</v>
      </c>
      <c r="X614" s="9" t="str">
        <f t="shared" si="51"/>
        <v>o855</v>
      </c>
    </row>
    <row r="615" spans="1:24" x14ac:dyDescent="0.2">
      <c r="A615" s="9" t="s">
        <v>425</v>
      </c>
      <c r="B615" s="9">
        <v>1</v>
      </c>
      <c r="C615" s="17">
        <v>10</v>
      </c>
      <c r="D615" s="20"/>
      <c r="E615" s="23">
        <v>45236</v>
      </c>
      <c r="F615" s="23" t="s">
        <v>363</v>
      </c>
      <c r="G615" s="25" t="s">
        <v>56</v>
      </c>
      <c r="H615" s="24">
        <v>1</v>
      </c>
      <c r="I615" s="25" t="s">
        <v>232</v>
      </c>
      <c r="J615" s="32">
        <v>45228</v>
      </c>
      <c r="K615" s="24">
        <v>0.83</v>
      </c>
      <c r="L615" s="25">
        <f t="shared" si="53"/>
        <v>708</v>
      </c>
      <c r="M615" s="4">
        <f>IF(Table3[[#This Row],[Afrondingsdatum YB]]="N/A","-",Table3[[#This Row],[Afrondingsdatum YB]]-Table3[[#This Row],[StartDatum]])</f>
        <v>45228</v>
      </c>
      <c r="N615" s="4"/>
      <c r="O615">
        <f t="shared" si="55"/>
        <v>110</v>
      </c>
      <c r="P615">
        <f t="shared" si="54"/>
        <v>117</v>
      </c>
      <c r="Q615">
        <f t="shared" si="54"/>
        <v>112</v>
      </c>
      <c r="R615">
        <f t="shared" si="54"/>
        <v>101</v>
      </c>
      <c r="S615">
        <f t="shared" si="54"/>
        <v>108</v>
      </c>
      <c r="T615">
        <f t="shared" si="54"/>
        <v>46</v>
      </c>
      <c r="U615">
        <f t="shared" si="54"/>
        <v>114</v>
      </c>
      <c r="V615">
        <f t="shared" si="54"/>
        <v>117</v>
      </c>
      <c r="W615" s="5">
        <f t="shared" si="50"/>
        <v>915</v>
      </c>
      <c r="X615" s="9" t="str">
        <f t="shared" si="51"/>
        <v>u915</v>
      </c>
    </row>
    <row r="616" spans="1:24" x14ac:dyDescent="0.2">
      <c r="A616" s="9" t="s">
        <v>425</v>
      </c>
      <c r="B616" s="9">
        <v>1</v>
      </c>
      <c r="C616" s="17">
        <v>10</v>
      </c>
      <c r="D616" s="20"/>
      <c r="E616" s="18">
        <v>45236</v>
      </c>
      <c r="F616" s="18" t="s">
        <v>364</v>
      </c>
      <c r="G616" s="20" t="s">
        <v>57</v>
      </c>
      <c r="H616" s="19">
        <v>1</v>
      </c>
      <c r="I616" s="20" t="s">
        <v>233</v>
      </c>
      <c r="J616" s="34">
        <v>45228</v>
      </c>
      <c r="K616" s="19">
        <v>0.73</v>
      </c>
      <c r="L616" s="20">
        <f t="shared" si="53"/>
        <v>762</v>
      </c>
      <c r="M616" s="4">
        <f>IF(Table3[[#This Row],[Afrondingsdatum YB]]="N/A","-",Table3[[#This Row],[Afrondingsdatum YB]]-Table3[[#This Row],[StartDatum]])</f>
        <v>45228</v>
      </c>
      <c r="N616" s="4"/>
      <c r="O616">
        <f t="shared" si="55"/>
        <v>111</v>
      </c>
      <c r="P616">
        <f t="shared" si="54"/>
        <v>108</v>
      </c>
      <c r="Q616">
        <f t="shared" si="54"/>
        <v>105</v>
      </c>
      <c r="R616">
        <f t="shared" si="54"/>
        <v>118</v>
      </c>
      <c r="S616">
        <f t="shared" si="54"/>
        <v>105</v>
      </c>
      <c r="T616">
        <f t="shared" si="54"/>
        <v>101</v>
      </c>
      <c r="U616">
        <f t="shared" si="54"/>
        <v>114</v>
      </c>
      <c r="V616">
        <f t="shared" si="54"/>
        <v>46</v>
      </c>
      <c r="W616" s="5">
        <f t="shared" si="50"/>
        <v>876</v>
      </c>
      <c r="X616" s="9" t="str">
        <f t="shared" si="51"/>
        <v>l876</v>
      </c>
    </row>
    <row r="617" spans="1:24" x14ac:dyDescent="0.2">
      <c r="A617" s="9" t="s">
        <v>425</v>
      </c>
      <c r="B617" s="9">
        <v>1</v>
      </c>
      <c r="C617" s="17">
        <v>10</v>
      </c>
      <c r="D617" s="20"/>
      <c r="E617" s="23">
        <v>45236</v>
      </c>
      <c r="F617" s="23" t="s">
        <v>362</v>
      </c>
      <c r="G617" s="25" t="s">
        <v>58</v>
      </c>
      <c r="H617" s="24">
        <v>0.54</v>
      </c>
      <c r="I617" s="25" t="s">
        <v>248</v>
      </c>
      <c r="J617" s="25" t="s">
        <v>7</v>
      </c>
      <c r="K617" s="25" t="s">
        <v>9</v>
      </c>
      <c r="L617" s="25">
        <f t="shared" si="53"/>
        <v>681</v>
      </c>
      <c r="M617" s="4" t="str">
        <f>IF(Table3[[#This Row],[Afrondingsdatum YB]]="N/A","-",Table3[[#This Row],[Afrondingsdatum YB]]-Table3[[#This Row],[StartDatum]])</f>
        <v>-</v>
      </c>
      <c r="N617" s="4"/>
      <c r="O617">
        <f t="shared" si="55"/>
        <v>112</v>
      </c>
      <c r="P617">
        <f t="shared" si="54"/>
        <v>97</v>
      </c>
      <c r="Q617">
        <f t="shared" si="54"/>
        <v>117</v>
      </c>
      <c r="R617">
        <f t="shared" si="54"/>
        <v>108</v>
      </c>
      <c r="S617">
        <f t="shared" si="54"/>
        <v>46</v>
      </c>
      <c r="T617">
        <f t="shared" si="54"/>
        <v>100</v>
      </c>
      <c r="U617">
        <f t="shared" si="54"/>
        <v>101</v>
      </c>
      <c r="V617">
        <f t="shared" si="54"/>
        <v>46</v>
      </c>
      <c r="W617" s="5">
        <f t="shared" ref="W617:W680" si="56">ROUND((O617*O$1+P617/P$1+Q617*Q$1+R617/R$1)+SUM(S617:V617),0)</f>
        <v>832</v>
      </c>
      <c r="X617" s="9" t="str">
        <f t="shared" ref="X617:X680" si="57">MID(G617,2,1)&amp;TEXT(W617,"###")</f>
        <v>a832</v>
      </c>
    </row>
    <row r="618" spans="1:24" x14ac:dyDescent="0.2">
      <c r="A618" s="9" t="s">
        <v>425</v>
      </c>
      <c r="B618" s="9">
        <v>1</v>
      </c>
      <c r="C618" s="17">
        <v>10</v>
      </c>
      <c r="D618" s="20"/>
      <c r="E618" s="18">
        <v>45236</v>
      </c>
      <c r="F618" s="18" t="s">
        <v>364</v>
      </c>
      <c r="G618" s="20" t="s">
        <v>59</v>
      </c>
      <c r="H618" s="19">
        <v>1</v>
      </c>
      <c r="I618" s="20" t="s">
        <v>148</v>
      </c>
      <c r="J618" s="20" t="s">
        <v>7</v>
      </c>
      <c r="K618" s="20" t="s">
        <v>9</v>
      </c>
      <c r="L618" s="20">
        <f t="shared" si="53"/>
        <v>695</v>
      </c>
      <c r="M618" s="4" t="str">
        <f>IF(Table3[[#This Row],[Afrondingsdatum YB]]="N/A","-",Table3[[#This Row],[Afrondingsdatum YB]]-Table3[[#This Row],[StartDatum]])</f>
        <v>-</v>
      </c>
      <c r="N618" s="4"/>
      <c r="O618">
        <f t="shared" si="55"/>
        <v>112</v>
      </c>
      <c r="P618">
        <f t="shared" si="54"/>
        <v>105</v>
      </c>
      <c r="Q618">
        <f t="shared" si="54"/>
        <v>101</v>
      </c>
      <c r="R618">
        <f t="shared" si="54"/>
        <v>116</v>
      </c>
      <c r="S618">
        <f t="shared" si="54"/>
        <v>101</v>
      </c>
      <c r="T618">
        <f t="shared" si="54"/>
        <v>114</v>
      </c>
      <c r="U618">
        <f t="shared" si="54"/>
        <v>46</v>
      </c>
      <c r="V618">
        <f t="shared" si="54"/>
        <v>109</v>
      </c>
      <c r="W618" s="5">
        <f t="shared" si="56"/>
        <v>867</v>
      </c>
      <c r="X618" s="9" t="str">
        <f t="shared" si="57"/>
        <v>i867</v>
      </c>
    </row>
    <row r="619" spans="1:24" x14ac:dyDescent="0.2">
      <c r="A619" s="9" t="s">
        <v>425</v>
      </c>
      <c r="B619" s="9">
        <v>1</v>
      </c>
      <c r="C619" s="17">
        <v>10</v>
      </c>
      <c r="D619" s="20"/>
      <c r="E619" s="23">
        <v>45236</v>
      </c>
      <c r="F619" s="23" t="s">
        <v>362</v>
      </c>
      <c r="G619" s="25" t="s">
        <v>60</v>
      </c>
      <c r="H619" s="24">
        <v>1</v>
      </c>
      <c r="I619" s="25" t="s">
        <v>72</v>
      </c>
      <c r="J619" s="32">
        <v>45222</v>
      </c>
      <c r="K619" s="24">
        <v>0.8</v>
      </c>
      <c r="L619" s="25">
        <f t="shared" si="53"/>
        <v>703</v>
      </c>
      <c r="M619" s="4">
        <f>IF(Table3[[#This Row],[Afrondingsdatum YB]]="N/A","-",Table3[[#This Row],[Afrondingsdatum YB]]-Table3[[#This Row],[StartDatum]])</f>
        <v>45222</v>
      </c>
      <c r="N619" s="4"/>
      <c r="O619">
        <f t="shared" si="55"/>
        <v>114</v>
      </c>
      <c r="P619">
        <f t="shared" si="54"/>
        <v>101</v>
      </c>
      <c r="Q619">
        <f t="shared" si="54"/>
        <v>110</v>
      </c>
      <c r="R619">
        <f t="shared" si="54"/>
        <v>115</v>
      </c>
      <c r="S619">
        <f t="shared" si="54"/>
        <v>46</v>
      </c>
      <c r="T619">
        <f t="shared" si="54"/>
        <v>103</v>
      </c>
      <c r="U619">
        <f t="shared" si="54"/>
        <v>114</v>
      </c>
      <c r="V619">
        <f t="shared" si="54"/>
        <v>111</v>
      </c>
      <c r="W619" s="5">
        <f t="shared" si="56"/>
        <v>897</v>
      </c>
      <c r="X619" s="9" t="str">
        <f t="shared" si="57"/>
        <v>e897</v>
      </c>
    </row>
    <row r="620" spans="1:24" x14ac:dyDescent="0.2">
      <c r="A620" s="9" t="s">
        <v>425</v>
      </c>
      <c r="B620" s="9">
        <v>1</v>
      </c>
      <c r="C620" s="17">
        <v>10</v>
      </c>
      <c r="D620" s="20"/>
      <c r="E620" s="18">
        <v>45236</v>
      </c>
      <c r="F620" s="18" t="s">
        <v>363</v>
      </c>
      <c r="G620" s="20" t="s">
        <v>61</v>
      </c>
      <c r="H620" s="19">
        <v>1</v>
      </c>
      <c r="I620" s="20" t="s">
        <v>86</v>
      </c>
      <c r="J620" s="34">
        <v>45228</v>
      </c>
      <c r="K620" s="19">
        <v>0.75</v>
      </c>
      <c r="L620" s="20">
        <f t="shared" si="53"/>
        <v>697</v>
      </c>
      <c r="M620" s="4">
        <f>IF(Table3[[#This Row],[Afrondingsdatum YB]]="N/A","-",Table3[[#This Row],[Afrondingsdatum YB]]-Table3[[#This Row],[StartDatum]])</f>
        <v>45228</v>
      </c>
      <c r="N620" s="4"/>
      <c r="O620">
        <f t="shared" si="55"/>
        <v>114</v>
      </c>
      <c r="P620">
        <f t="shared" si="54"/>
        <v>111</v>
      </c>
      <c r="Q620">
        <f t="shared" si="54"/>
        <v>119</v>
      </c>
      <c r="R620">
        <f t="shared" si="54"/>
        <v>97</v>
      </c>
      <c r="S620">
        <f t="shared" si="54"/>
        <v>110</v>
      </c>
      <c r="T620">
        <f t="shared" si="54"/>
        <v>46</v>
      </c>
      <c r="U620">
        <f t="shared" si="54"/>
        <v>100</v>
      </c>
      <c r="V620">
        <f t="shared" si="54"/>
        <v>101</v>
      </c>
      <c r="W620" s="5">
        <f t="shared" si="56"/>
        <v>908</v>
      </c>
      <c r="X620" s="9" t="str">
        <f t="shared" si="57"/>
        <v>o908</v>
      </c>
    </row>
    <row r="621" spans="1:24" x14ac:dyDescent="0.2">
      <c r="A621" s="9" t="s">
        <v>425</v>
      </c>
      <c r="B621" s="9">
        <v>1</v>
      </c>
      <c r="C621" s="17">
        <v>10</v>
      </c>
      <c r="D621" s="20"/>
      <c r="E621" s="23">
        <v>45236</v>
      </c>
      <c r="F621" s="23" t="s">
        <v>363</v>
      </c>
      <c r="G621" s="25" t="s">
        <v>84</v>
      </c>
      <c r="H621" s="24">
        <v>1</v>
      </c>
      <c r="I621" s="25" t="s">
        <v>176</v>
      </c>
      <c r="J621" s="32">
        <v>45231</v>
      </c>
      <c r="K621" s="24">
        <v>0.83</v>
      </c>
      <c r="L621" s="25">
        <f t="shared" si="53"/>
        <v>683</v>
      </c>
      <c r="M621" s="4">
        <f>IF(Table3[[#This Row],[Afrondingsdatum YB]]="N/A","-",Table3[[#This Row],[Afrondingsdatum YB]]-Table3[[#This Row],[StartDatum]])</f>
        <v>45231</v>
      </c>
      <c r="N621" s="4"/>
      <c r="O621">
        <f t="shared" si="55"/>
        <v>115</v>
      </c>
      <c r="P621">
        <f t="shared" si="54"/>
        <v>97</v>
      </c>
      <c r="Q621">
        <f t="shared" si="54"/>
        <v>110</v>
      </c>
      <c r="R621">
        <f t="shared" si="54"/>
        <v>100</v>
      </c>
      <c r="S621">
        <f t="shared" si="54"/>
        <v>101</v>
      </c>
      <c r="T621">
        <f t="shared" si="54"/>
        <v>114</v>
      </c>
      <c r="U621">
        <f t="shared" si="54"/>
        <v>46</v>
      </c>
      <c r="V621">
        <f t="shared" si="54"/>
        <v>98</v>
      </c>
      <c r="W621" s="5">
        <f t="shared" si="56"/>
        <v>878</v>
      </c>
      <c r="X621" s="9" t="str">
        <f t="shared" si="57"/>
        <v>a878</v>
      </c>
    </row>
    <row r="622" spans="1:24" x14ac:dyDescent="0.2">
      <c r="A622" s="9" t="s">
        <v>425</v>
      </c>
      <c r="B622" s="9">
        <v>1</v>
      </c>
      <c r="C622" s="17">
        <v>10</v>
      </c>
      <c r="D622" s="20"/>
      <c r="E622" s="18">
        <v>45236</v>
      </c>
      <c r="F622" s="18" t="s">
        <v>363</v>
      </c>
      <c r="G622" s="20" t="s">
        <v>62</v>
      </c>
      <c r="H622" s="19">
        <v>1</v>
      </c>
      <c r="I622" s="20" t="s">
        <v>162</v>
      </c>
      <c r="J622" s="34">
        <v>45202</v>
      </c>
      <c r="K622" s="19">
        <v>0.75</v>
      </c>
      <c r="L622" s="20">
        <f t="shared" si="53"/>
        <v>670</v>
      </c>
      <c r="M622" s="4">
        <f>IF(Table3[[#This Row],[Afrondingsdatum YB]]="N/A","-",Table3[[#This Row],[Afrondingsdatum YB]]-Table3[[#This Row],[StartDatum]])</f>
        <v>45202</v>
      </c>
      <c r="N622" s="4"/>
      <c r="O622">
        <f t="shared" si="55"/>
        <v>115</v>
      </c>
      <c r="P622">
        <f t="shared" si="54"/>
        <v>97</v>
      </c>
      <c r="Q622">
        <f t="shared" si="54"/>
        <v>114</v>
      </c>
      <c r="R622">
        <f t="shared" si="54"/>
        <v>97</v>
      </c>
      <c r="S622">
        <f t="shared" si="54"/>
        <v>46</v>
      </c>
      <c r="T622">
        <f t="shared" si="54"/>
        <v>100</v>
      </c>
      <c r="U622">
        <f t="shared" si="54"/>
        <v>101</v>
      </c>
      <c r="V622">
        <f t="shared" si="54"/>
        <v>46</v>
      </c>
      <c r="W622" s="5">
        <f t="shared" si="56"/>
        <v>823</v>
      </c>
      <c r="X622" s="9" t="str">
        <f t="shared" si="57"/>
        <v>a823</v>
      </c>
    </row>
    <row r="623" spans="1:24" x14ac:dyDescent="0.2">
      <c r="A623" s="9" t="s">
        <v>425</v>
      </c>
      <c r="B623" s="9">
        <v>1</v>
      </c>
      <c r="C623" s="17">
        <v>10</v>
      </c>
      <c r="D623" s="20"/>
      <c r="E623" s="23">
        <v>45236</v>
      </c>
      <c r="F623" s="23" t="s">
        <v>362</v>
      </c>
      <c r="G623" s="25" t="s">
        <v>131</v>
      </c>
      <c r="H623" s="24">
        <v>0.98</v>
      </c>
      <c r="I623" s="25" t="s">
        <v>249</v>
      </c>
      <c r="J623" s="25" t="s">
        <v>7</v>
      </c>
      <c r="K623" s="25" t="s">
        <v>9</v>
      </c>
      <c r="L623" s="25">
        <f t="shared" si="53"/>
        <v>675</v>
      </c>
      <c r="M623" s="4" t="str">
        <f>IF(Table3[[#This Row],[Afrondingsdatum YB]]="N/A","-",Table3[[#This Row],[Afrondingsdatum YB]]-Table3[[#This Row],[StartDatum]])</f>
        <v>-</v>
      </c>
      <c r="N623" s="4"/>
      <c r="O623">
        <f t="shared" si="55"/>
        <v>115</v>
      </c>
      <c r="P623">
        <f t="shared" si="54"/>
        <v>97</v>
      </c>
      <c r="Q623">
        <f t="shared" si="54"/>
        <v>114</v>
      </c>
      <c r="R623">
        <f t="shared" si="54"/>
        <v>97</v>
      </c>
      <c r="S623">
        <f t="shared" si="54"/>
        <v>104</v>
      </c>
      <c r="T623">
        <f t="shared" si="54"/>
        <v>46</v>
      </c>
      <c r="U623">
        <f t="shared" si="54"/>
        <v>102</v>
      </c>
      <c r="V623">
        <f t="shared" si="54"/>
        <v>97</v>
      </c>
      <c r="W623" s="5">
        <f t="shared" si="56"/>
        <v>879</v>
      </c>
      <c r="X623" s="9" t="str">
        <f t="shared" si="57"/>
        <v>a879</v>
      </c>
    </row>
    <row r="624" spans="1:24" x14ac:dyDescent="0.2">
      <c r="A624" s="9" t="s">
        <v>425</v>
      </c>
      <c r="B624" s="9">
        <v>1</v>
      </c>
      <c r="C624" s="17">
        <v>10</v>
      </c>
      <c r="D624" s="20"/>
      <c r="E624" s="18">
        <v>45236</v>
      </c>
      <c r="F624" s="18" t="s">
        <v>364</v>
      </c>
      <c r="G624" s="20" t="s">
        <v>108</v>
      </c>
      <c r="H624" s="19">
        <v>0.99</v>
      </c>
      <c r="I624" s="20" t="s">
        <v>250</v>
      </c>
      <c r="J624" s="20" t="s">
        <v>7</v>
      </c>
      <c r="K624" s="20" t="s">
        <v>9</v>
      </c>
      <c r="L624" s="20">
        <f t="shared" si="53"/>
        <v>760</v>
      </c>
      <c r="M624" s="4" t="str">
        <f>IF(Table3[[#This Row],[Afrondingsdatum YB]]="N/A","-",Table3[[#This Row],[Afrondingsdatum YB]]-Table3[[#This Row],[StartDatum]])</f>
        <v>-</v>
      </c>
      <c r="N624" s="4"/>
      <c r="O624">
        <f t="shared" si="55"/>
        <v>115</v>
      </c>
      <c r="P624">
        <f t="shared" si="54"/>
        <v>97</v>
      </c>
      <c r="Q624">
        <f t="shared" si="54"/>
        <v>118</v>
      </c>
      <c r="R624">
        <f t="shared" si="54"/>
        <v>101</v>
      </c>
      <c r="S624">
        <f t="shared" si="54"/>
        <v>114</v>
      </c>
      <c r="T624">
        <f t="shared" si="54"/>
        <v>105</v>
      </c>
      <c r="U624">
        <f t="shared" si="54"/>
        <v>110</v>
      </c>
      <c r="V624">
        <f t="shared" si="54"/>
        <v>105</v>
      </c>
      <c r="W624" s="5">
        <f t="shared" si="56"/>
        <v>977</v>
      </c>
      <c r="X624" s="9" t="str">
        <f t="shared" si="57"/>
        <v>a977</v>
      </c>
    </row>
    <row r="625" spans="1:24" x14ac:dyDescent="0.2">
      <c r="A625" s="9" t="s">
        <v>425</v>
      </c>
      <c r="B625" s="9">
        <v>1</v>
      </c>
      <c r="C625" s="17">
        <v>10</v>
      </c>
      <c r="D625" s="20"/>
      <c r="E625" s="23">
        <v>45236</v>
      </c>
      <c r="F625" s="23" t="s">
        <v>364</v>
      </c>
      <c r="G625" s="25" t="s">
        <v>109</v>
      </c>
      <c r="H625" s="24">
        <v>0.45</v>
      </c>
      <c r="I625" s="25" t="s">
        <v>212</v>
      </c>
      <c r="J625" s="25" t="s">
        <v>7</v>
      </c>
      <c r="K625" s="25" t="s">
        <v>9</v>
      </c>
      <c r="L625" s="25">
        <f t="shared" si="53"/>
        <v>696</v>
      </c>
      <c r="M625" s="4" t="str">
        <f>IF(Table3[[#This Row],[Afrondingsdatum YB]]="N/A","-",Table3[[#This Row],[Afrondingsdatum YB]]-Table3[[#This Row],[StartDatum]])</f>
        <v>-</v>
      </c>
      <c r="N625" s="4"/>
      <c r="O625">
        <f t="shared" si="55"/>
        <v>115</v>
      </c>
      <c r="P625">
        <f t="shared" si="54"/>
        <v>101</v>
      </c>
      <c r="Q625">
        <f t="shared" si="54"/>
        <v>109</v>
      </c>
      <c r="R625">
        <f t="shared" si="54"/>
        <v>46</v>
      </c>
      <c r="S625">
        <f t="shared" si="54"/>
        <v>118</v>
      </c>
      <c r="T625">
        <f t="shared" si="54"/>
        <v>97</v>
      </c>
      <c r="U625">
        <f t="shared" si="54"/>
        <v>110</v>
      </c>
      <c r="V625">
        <f t="shared" si="54"/>
        <v>46</v>
      </c>
      <c r="W625" s="5">
        <f t="shared" si="56"/>
        <v>875</v>
      </c>
      <c r="X625" s="9" t="str">
        <f t="shared" si="57"/>
        <v>e875</v>
      </c>
    </row>
    <row r="626" spans="1:24" x14ac:dyDescent="0.2">
      <c r="A626" s="9" t="s">
        <v>425</v>
      </c>
      <c r="B626" s="9">
        <v>1</v>
      </c>
      <c r="C626" s="17">
        <v>10</v>
      </c>
      <c r="D626" s="20"/>
      <c r="E626" s="18">
        <v>45236</v>
      </c>
      <c r="F626" s="18" t="s">
        <v>362</v>
      </c>
      <c r="G626" s="20" t="s">
        <v>63</v>
      </c>
      <c r="H626" s="19">
        <v>0.18</v>
      </c>
      <c r="I626" s="20" t="s">
        <v>251</v>
      </c>
      <c r="J626" s="20" t="s">
        <v>7</v>
      </c>
      <c r="K626" s="20" t="s">
        <v>9</v>
      </c>
      <c r="L626" s="20">
        <f t="shared" si="53"/>
        <v>673</v>
      </c>
      <c r="M626" s="4" t="str">
        <f>IF(Table3[[#This Row],[Afrondingsdatum YB]]="N/A","-",Table3[[#This Row],[Afrondingsdatum YB]]-Table3[[#This Row],[StartDatum]])</f>
        <v>-</v>
      </c>
      <c r="N626" s="4"/>
      <c r="O626">
        <f t="shared" si="55"/>
        <v>83</v>
      </c>
      <c r="P626">
        <f t="shared" si="54"/>
        <v>121</v>
      </c>
      <c r="Q626">
        <f t="shared" si="54"/>
        <v>98</v>
      </c>
      <c r="R626">
        <f t="shared" si="54"/>
        <v>114</v>
      </c>
      <c r="S626">
        <f t="shared" si="54"/>
        <v>101</v>
      </c>
      <c r="T626">
        <f t="shared" si="54"/>
        <v>110</v>
      </c>
      <c r="U626">
        <f t="shared" si="54"/>
        <v>46</v>
      </c>
      <c r="V626">
        <f t="shared" si="54"/>
        <v>104</v>
      </c>
      <c r="W626" s="5">
        <f t="shared" si="56"/>
        <v>827</v>
      </c>
      <c r="X626" s="9" t="str">
        <f t="shared" si="57"/>
        <v>y827</v>
      </c>
    </row>
    <row r="627" spans="1:24" x14ac:dyDescent="0.2">
      <c r="A627" s="9" t="s">
        <v>425</v>
      </c>
      <c r="B627" s="9">
        <v>1</v>
      </c>
      <c r="C627" s="17">
        <v>10</v>
      </c>
      <c r="D627" s="20"/>
      <c r="E627" s="23">
        <v>45236</v>
      </c>
      <c r="F627" s="23" t="s">
        <v>363</v>
      </c>
      <c r="G627" s="25" t="s">
        <v>64</v>
      </c>
      <c r="H627" s="24">
        <v>1</v>
      </c>
      <c r="I627" s="25" t="s">
        <v>159</v>
      </c>
      <c r="J627" s="32">
        <v>45226</v>
      </c>
      <c r="K627" s="24">
        <v>0.75</v>
      </c>
      <c r="L627" s="25">
        <f t="shared" si="53"/>
        <v>709</v>
      </c>
      <c r="M627" s="4">
        <f>IF(Table3[[#This Row],[Afrondingsdatum YB]]="N/A","-",Table3[[#This Row],[Afrondingsdatum YB]]-Table3[[#This Row],[StartDatum]])</f>
        <v>45226</v>
      </c>
      <c r="N627" s="4"/>
      <c r="O627">
        <f t="shared" si="55"/>
        <v>116</v>
      </c>
      <c r="P627">
        <f t="shared" si="54"/>
        <v>101</v>
      </c>
      <c r="Q627">
        <f t="shared" si="54"/>
        <v>117</v>
      </c>
      <c r="R627">
        <f t="shared" si="54"/>
        <v>110</v>
      </c>
      <c r="S627">
        <f t="shared" si="54"/>
        <v>46</v>
      </c>
      <c r="T627">
        <f t="shared" si="54"/>
        <v>114</v>
      </c>
      <c r="U627">
        <f t="shared" si="54"/>
        <v>105</v>
      </c>
      <c r="V627">
        <f t="shared" si="54"/>
        <v>110</v>
      </c>
      <c r="W627" s="5">
        <f t="shared" si="56"/>
        <v>920</v>
      </c>
      <c r="X627" s="9" t="str">
        <f t="shared" si="57"/>
        <v>e920</v>
      </c>
    </row>
    <row r="628" spans="1:24" x14ac:dyDescent="0.2">
      <c r="A628" s="9" t="s">
        <v>425</v>
      </c>
      <c r="B628" s="9">
        <v>1</v>
      </c>
      <c r="C628" s="17">
        <v>10</v>
      </c>
      <c r="D628" s="20"/>
      <c r="E628" s="18">
        <v>45236</v>
      </c>
      <c r="F628" s="18" t="s">
        <v>362</v>
      </c>
      <c r="G628" s="20" t="s">
        <v>132</v>
      </c>
      <c r="H628" s="19">
        <v>0.41</v>
      </c>
      <c r="I628" s="20" t="s">
        <v>252</v>
      </c>
      <c r="J628" s="20" t="s">
        <v>7</v>
      </c>
      <c r="K628" s="20" t="s">
        <v>9</v>
      </c>
      <c r="L628" s="20">
        <f t="shared" si="53"/>
        <v>697</v>
      </c>
      <c r="M628" s="4" t="str">
        <f>IF(Table3[[#This Row],[Afrondingsdatum YB]]="N/A","-",Table3[[#This Row],[Afrondingsdatum YB]]-Table3[[#This Row],[StartDatum]])</f>
        <v>-</v>
      </c>
      <c r="N628" s="4"/>
      <c r="O628">
        <f t="shared" si="55"/>
        <v>116</v>
      </c>
      <c r="P628">
        <f t="shared" si="54"/>
        <v>104</v>
      </c>
      <c r="Q628">
        <f t="shared" si="54"/>
        <v>105</v>
      </c>
      <c r="R628">
        <f t="shared" si="54"/>
        <v>114</v>
      </c>
      <c r="S628">
        <f t="shared" si="54"/>
        <v>115</v>
      </c>
      <c r="T628">
        <f t="shared" ref="P628:V664" si="58">CODE(MID($G628,T$1,1))</f>
        <v>97</v>
      </c>
      <c r="U628">
        <f t="shared" si="58"/>
        <v>46</v>
      </c>
      <c r="V628">
        <f t="shared" si="58"/>
        <v>108</v>
      </c>
      <c r="W628" s="5">
        <f t="shared" si="56"/>
        <v>878</v>
      </c>
      <c r="X628" s="9" t="str">
        <f t="shared" si="57"/>
        <v>h878</v>
      </c>
    </row>
    <row r="629" spans="1:24" x14ac:dyDescent="0.2">
      <c r="A629" s="9" t="s">
        <v>425</v>
      </c>
      <c r="B629" s="9">
        <v>1</v>
      </c>
      <c r="C629" s="17">
        <v>10</v>
      </c>
      <c r="D629" s="20"/>
      <c r="E629" s="23">
        <v>45236</v>
      </c>
      <c r="F629" s="23" t="s">
        <v>364</v>
      </c>
      <c r="G629" s="25" t="s">
        <v>133</v>
      </c>
      <c r="H629" s="24">
        <v>0.64</v>
      </c>
      <c r="I629" s="25" t="s">
        <v>184</v>
      </c>
      <c r="J629" s="25" t="s">
        <v>7</v>
      </c>
      <c r="K629" s="25" t="s">
        <v>9</v>
      </c>
      <c r="L629" s="25">
        <f t="shared" si="53"/>
        <v>713</v>
      </c>
      <c r="M629" s="4" t="str">
        <f>IF(Table3[[#This Row],[Afrondingsdatum YB]]="N/A","-",Table3[[#This Row],[Afrondingsdatum YB]]-Table3[[#This Row],[StartDatum]])</f>
        <v>-</v>
      </c>
      <c r="N629" s="4"/>
      <c r="O629">
        <f t="shared" si="55"/>
        <v>116</v>
      </c>
      <c r="P629">
        <f t="shared" si="58"/>
        <v>121</v>
      </c>
      <c r="Q629">
        <f t="shared" si="58"/>
        <v>108</v>
      </c>
      <c r="R629">
        <f t="shared" si="58"/>
        <v>101</v>
      </c>
      <c r="S629">
        <f t="shared" si="58"/>
        <v>114</v>
      </c>
      <c r="T629">
        <f t="shared" si="58"/>
        <v>46</v>
      </c>
      <c r="U629">
        <f t="shared" si="58"/>
        <v>107</v>
      </c>
      <c r="V629">
        <f t="shared" si="58"/>
        <v>111</v>
      </c>
      <c r="W629" s="5">
        <f t="shared" si="56"/>
        <v>904</v>
      </c>
      <c r="X629" s="9" t="str">
        <f t="shared" si="57"/>
        <v>y904</v>
      </c>
    </row>
    <row r="630" spans="1:24" x14ac:dyDescent="0.2">
      <c r="A630" s="9" t="s">
        <v>425</v>
      </c>
      <c r="B630" s="9">
        <v>1</v>
      </c>
      <c r="C630" s="17">
        <v>10</v>
      </c>
      <c r="D630" s="20"/>
      <c r="E630" s="18">
        <v>45236</v>
      </c>
      <c r="F630" s="18" t="s">
        <v>364</v>
      </c>
      <c r="G630" s="20" t="s">
        <v>65</v>
      </c>
      <c r="H630" s="19">
        <v>1</v>
      </c>
      <c r="I630" s="20" t="s">
        <v>144</v>
      </c>
      <c r="J630" s="34">
        <v>45231</v>
      </c>
      <c r="K630" s="19">
        <v>0.93</v>
      </c>
      <c r="L630" s="20">
        <f t="shared" si="53"/>
        <v>711</v>
      </c>
      <c r="M630" s="4">
        <f>IF(Table3[[#This Row],[Afrondingsdatum YB]]="N/A","-",Table3[[#This Row],[Afrondingsdatum YB]]-Table3[[#This Row],[StartDatum]])</f>
        <v>45231</v>
      </c>
      <c r="N630" s="4"/>
      <c r="O630">
        <f t="shared" si="55"/>
        <v>119</v>
      </c>
      <c r="P630">
        <f t="shared" si="58"/>
        <v>101</v>
      </c>
      <c r="Q630">
        <f t="shared" si="58"/>
        <v>115</v>
      </c>
      <c r="R630">
        <f t="shared" si="58"/>
        <v>108</v>
      </c>
      <c r="S630">
        <f t="shared" si="58"/>
        <v>101</v>
      </c>
      <c r="T630">
        <f t="shared" si="58"/>
        <v>121</v>
      </c>
      <c r="U630">
        <f t="shared" si="58"/>
        <v>46</v>
      </c>
      <c r="V630">
        <f t="shared" si="58"/>
        <v>99</v>
      </c>
      <c r="W630" s="5">
        <f t="shared" si="56"/>
        <v>909</v>
      </c>
      <c r="X630" s="9" t="str">
        <f t="shared" si="57"/>
        <v>e909</v>
      </c>
    </row>
    <row r="631" spans="1:24" x14ac:dyDescent="0.2">
      <c r="A631" s="9" t="s">
        <v>425</v>
      </c>
      <c r="B631" s="9">
        <v>1</v>
      </c>
      <c r="C631" s="17">
        <v>10</v>
      </c>
      <c r="D631" s="20"/>
      <c r="E631" s="23">
        <v>45236</v>
      </c>
      <c r="F631" s="23" t="s">
        <v>364</v>
      </c>
      <c r="G631" s="25" t="s">
        <v>66</v>
      </c>
      <c r="H631" s="24">
        <v>0.17</v>
      </c>
      <c r="I631" s="25" t="s">
        <v>106</v>
      </c>
      <c r="J631" s="25" t="s">
        <v>7</v>
      </c>
      <c r="K631" s="25" t="s">
        <v>9</v>
      </c>
      <c r="L631" s="25">
        <f t="shared" si="53"/>
        <v>697</v>
      </c>
      <c r="M631" s="4" t="str">
        <f>IF(Table3[[#This Row],[Afrondingsdatum YB]]="N/A","-",Table3[[#This Row],[Afrondingsdatum YB]]-Table3[[#This Row],[StartDatum]])</f>
        <v>-</v>
      </c>
      <c r="N631" s="4"/>
      <c r="O631">
        <f t="shared" si="55"/>
        <v>121</v>
      </c>
      <c r="P631">
        <f t="shared" si="58"/>
        <v>97</v>
      </c>
      <c r="Q631">
        <f t="shared" si="58"/>
        <v>115</v>
      </c>
      <c r="R631">
        <f t="shared" si="58"/>
        <v>105</v>
      </c>
      <c r="S631">
        <f t="shared" si="58"/>
        <v>110</v>
      </c>
      <c r="T631">
        <f t="shared" si="58"/>
        <v>46</v>
      </c>
      <c r="U631">
        <f t="shared" si="58"/>
        <v>103</v>
      </c>
      <c r="V631">
        <f t="shared" si="58"/>
        <v>111</v>
      </c>
      <c r="W631" s="5">
        <f t="shared" si="56"/>
        <v>911</v>
      </c>
      <c r="X631" s="9" t="str">
        <f t="shared" si="57"/>
        <v>a911</v>
      </c>
    </row>
    <row r="632" spans="1:24" x14ac:dyDescent="0.2">
      <c r="A632" s="9" t="s">
        <v>425</v>
      </c>
      <c r="B632" s="9">
        <v>1</v>
      </c>
      <c r="C632" s="17">
        <v>10</v>
      </c>
      <c r="D632" s="20"/>
      <c r="E632" s="18">
        <v>45236</v>
      </c>
      <c r="F632" s="18" t="s">
        <v>364</v>
      </c>
      <c r="G632" s="20" t="s">
        <v>67</v>
      </c>
      <c r="H632" s="19">
        <v>1</v>
      </c>
      <c r="I632" s="20" t="s">
        <v>153</v>
      </c>
      <c r="J632" s="34">
        <v>45217</v>
      </c>
      <c r="K632" s="19">
        <v>0.73</v>
      </c>
      <c r="L632" s="20">
        <f t="shared" si="53"/>
        <v>764</v>
      </c>
      <c r="M632" s="4">
        <f>IF(Table3[[#This Row],[Afrondingsdatum YB]]="N/A","-",Table3[[#This Row],[Afrondingsdatum YB]]-Table3[[#This Row],[StartDatum]])</f>
        <v>45217</v>
      </c>
      <c r="N632" s="4"/>
      <c r="O632">
        <f t="shared" si="55"/>
        <v>121</v>
      </c>
      <c r="P632">
        <f t="shared" si="58"/>
        <v>97</v>
      </c>
      <c r="Q632">
        <f t="shared" si="58"/>
        <v>115</v>
      </c>
      <c r="R632">
        <f t="shared" si="58"/>
        <v>115</v>
      </c>
      <c r="S632">
        <f t="shared" si="58"/>
        <v>105</v>
      </c>
      <c r="T632">
        <f t="shared" si="58"/>
        <v>110</v>
      </c>
      <c r="U632">
        <f t="shared" si="58"/>
        <v>101</v>
      </c>
      <c r="V632">
        <f t="shared" si="58"/>
        <v>46</v>
      </c>
      <c r="W632" s="5">
        <f t="shared" si="56"/>
        <v>905</v>
      </c>
      <c r="X632" s="9" t="str">
        <f t="shared" si="57"/>
        <v>a905</v>
      </c>
    </row>
    <row r="633" spans="1:24" x14ac:dyDescent="0.2">
      <c r="A633" s="9" t="s">
        <v>425</v>
      </c>
      <c r="B633" s="9">
        <v>1</v>
      </c>
      <c r="C633" s="17">
        <v>10</v>
      </c>
      <c r="D633" s="20"/>
      <c r="E633" s="23">
        <v>45236</v>
      </c>
      <c r="F633" s="23" t="s">
        <v>363</v>
      </c>
      <c r="G633" s="25" t="s">
        <v>68</v>
      </c>
      <c r="H633" s="24">
        <v>1</v>
      </c>
      <c r="I633" s="25" t="s">
        <v>253</v>
      </c>
      <c r="J633" s="32">
        <v>45229</v>
      </c>
      <c r="K633" s="24">
        <v>0.75</v>
      </c>
      <c r="L633" s="25">
        <f t="shared" si="53"/>
        <v>721</v>
      </c>
      <c r="M633" s="4">
        <f>IF(Table3[[#This Row],[Afrondingsdatum YB]]="N/A","-",Table3[[#This Row],[Afrondingsdatum YB]]-Table3[[#This Row],[StartDatum]])</f>
        <v>45229</v>
      </c>
      <c r="N633" s="4"/>
      <c r="O633">
        <f t="shared" si="55"/>
        <v>121</v>
      </c>
      <c r="P633">
        <f t="shared" si="58"/>
        <v>111</v>
      </c>
      <c r="Q633">
        <f t="shared" si="58"/>
        <v>117</v>
      </c>
      <c r="R633">
        <f t="shared" si="58"/>
        <v>114</v>
      </c>
      <c r="S633">
        <f t="shared" si="58"/>
        <v>105</v>
      </c>
      <c r="T633">
        <f t="shared" si="58"/>
        <v>46</v>
      </c>
      <c r="U633">
        <f t="shared" si="58"/>
        <v>107</v>
      </c>
      <c r="V633">
        <f t="shared" si="58"/>
        <v>101</v>
      </c>
      <c r="W633" s="5">
        <f t="shared" si="56"/>
        <v>915</v>
      </c>
      <c r="X633" s="9" t="str">
        <f t="shared" si="57"/>
        <v>o915</v>
      </c>
    </row>
    <row r="634" spans="1:24" x14ac:dyDescent="0.2">
      <c r="A634" s="9" t="s">
        <v>425</v>
      </c>
      <c r="B634" s="9">
        <v>1</v>
      </c>
      <c r="C634" s="17">
        <v>11</v>
      </c>
      <c r="D634" s="20"/>
      <c r="E634" s="18">
        <v>45243</v>
      </c>
      <c r="F634" s="18" t="s">
        <v>363</v>
      </c>
      <c r="G634" s="20" t="s">
        <v>10</v>
      </c>
      <c r="H634" s="19">
        <v>1</v>
      </c>
      <c r="I634" s="20" t="s">
        <v>110</v>
      </c>
      <c r="J634" s="34">
        <v>45197</v>
      </c>
      <c r="K634" s="19">
        <v>0.98</v>
      </c>
      <c r="L634" s="20">
        <f t="shared" si="53"/>
        <v>662</v>
      </c>
      <c r="M634" s="4">
        <f>IF(Table3[[#This Row],[Afrondingsdatum YB]]="N/A","-",Table3[[#This Row],[Afrondingsdatum YB]]-Table3[[#This Row],[StartDatum]])</f>
        <v>45197</v>
      </c>
      <c r="N634" s="4"/>
      <c r="O634">
        <f t="shared" si="55"/>
        <v>97</v>
      </c>
      <c r="P634">
        <f t="shared" si="58"/>
        <v>100</v>
      </c>
      <c r="Q634">
        <f t="shared" si="58"/>
        <v>97</v>
      </c>
      <c r="R634">
        <f t="shared" si="58"/>
        <v>109</v>
      </c>
      <c r="S634">
        <f t="shared" si="58"/>
        <v>46</v>
      </c>
      <c r="T634">
        <f t="shared" si="58"/>
        <v>97</v>
      </c>
      <c r="U634">
        <f t="shared" si="58"/>
        <v>116</v>
      </c>
      <c r="V634">
        <f t="shared" si="58"/>
        <v>116</v>
      </c>
      <c r="W634" s="5">
        <f t="shared" si="56"/>
        <v>840</v>
      </c>
      <c r="X634" s="9" t="str">
        <f t="shared" si="57"/>
        <v>d840</v>
      </c>
    </row>
    <row r="635" spans="1:24" x14ac:dyDescent="0.2">
      <c r="A635" s="9" t="s">
        <v>425</v>
      </c>
      <c r="B635" s="9">
        <v>1</v>
      </c>
      <c r="C635" s="17">
        <v>11</v>
      </c>
      <c r="D635" s="20"/>
      <c r="E635" s="23">
        <v>45243</v>
      </c>
      <c r="F635" s="23" t="s">
        <v>362</v>
      </c>
      <c r="G635" s="25" t="s">
        <v>11</v>
      </c>
      <c r="H635" s="24">
        <v>0.03</v>
      </c>
      <c r="I635" s="25" t="s">
        <v>111</v>
      </c>
      <c r="J635" s="25" t="s">
        <v>7</v>
      </c>
      <c r="K635" s="25" t="s">
        <v>9</v>
      </c>
      <c r="L635" s="25">
        <f t="shared" si="53"/>
        <v>641</v>
      </c>
      <c r="M635" s="4" t="str">
        <f>IF(Table3[[#This Row],[Afrondingsdatum YB]]="N/A","-",Table3[[#This Row],[Afrondingsdatum YB]]-Table3[[#This Row],[StartDatum]])</f>
        <v>-</v>
      </c>
      <c r="N635" s="4"/>
      <c r="O635">
        <f t="shared" si="55"/>
        <v>65</v>
      </c>
      <c r="P635">
        <f t="shared" si="58"/>
        <v>100</v>
      </c>
      <c r="Q635">
        <f t="shared" si="58"/>
        <v>105</v>
      </c>
      <c r="R635">
        <f t="shared" si="58"/>
        <v>108</v>
      </c>
      <c r="S635">
        <f t="shared" si="58"/>
        <v>46</v>
      </c>
      <c r="T635">
        <f t="shared" si="58"/>
        <v>106</v>
      </c>
      <c r="U635">
        <f t="shared" si="58"/>
        <v>111</v>
      </c>
      <c r="V635">
        <f t="shared" si="58"/>
        <v>117</v>
      </c>
      <c r="W635" s="5">
        <f t="shared" si="56"/>
        <v>837</v>
      </c>
      <c r="X635" s="9" t="str">
        <f t="shared" si="57"/>
        <v>d837</v>
      </c>
    </row>
    <row r="636" spans="1:24" x14ac:dyDescent="0.2">
      <c r="A636" s="9" t="s">
        <v>425</v>
      </c>
      <c r="B636" s="9">
        <v>1</v>
      </c>
      <c r="C636" s="17">
        <v>11</v>
      </c>
      <c r="D636" s="20"/>
      <c r="E636" s="18">
        <v>45243</v>
      </c>
      <c r="F636" s="18" t="s">
        <v>364</v>
      </c>
      <c r="G636" s="20" t="s">
        <v>12</v>
      </c>
      <c r="H636" s="19">
        <v>1</v>
      </c>
      <c r="I636" s="20" t="s">
        <v>140</v>
      </c>
      <c r="J636" s="34">
        <v>45219</v>
      </c>
      <c r="K636" s="19">
        <v>0.73</v>
      </c>
      <c r="L636" s="20">
        <f t="shared" si="53"/>
        <v>677</v>
      </c>
      <c r="M636" s="4">
        <f>IF(Table3[[#This Row],[Afrondingsdatum YB]]="N/A","-",Table3[[#This Row],[Afrondingsdatum YB]]-Table3[[#This Row],[StartDatum]])</f>
        <v>45219</v>
      </c>
      <c r="N636" s="4"/>
      <c r="O636">
        <f t="shared" si="55"/>
        <v>97</v>
      </c>
      <c r="P636">
        <f t="shared" si="58"/>
        <v>103</v>
      </c>
      <c r="Q636">
        <f t="shared" si="58"/>
        <v>104</v>
      </c>
      <c r="R636">
        <f t="shared" si="58"/>
        <v>105</v>
      </c>
      <c r="S636">
        <f t="shared" si="58"/>
        <v>108</v>
      </c>
      <c r="T636">
        <f t="shared" si="58"/>
        <v>46</v>
      </c>
      <c r="U636">
        <f t="shared" si="58"/>
        <v>114</v>
      </c>
      <c r="V636">
        <f t="shared" si="58"/>
        <v>101</v>
      </c>
      <c r="W636" s="5">
        <f t="shared" si="56"/>
        <v>856</v>
      </c>
      <c r="X636" s="9" t="str">
        <f t="shared" si="57"/>
        <v>g856</v>
      </c>
    </row>
    <row r="637" spans="1:24" x14ac:dyDescent="0.2">
      <c r="A637" s="9" t="s">
        <v>425</v>
      </c>
      <c r="B637" s="9">
        <v>1</v>
      </c>
      <c r="C637" s="17">
        <v>11</v>
      </c>
      <c r="D637" s="20"/>
      <c r="E637" s="23">
        <v>45243</v>
      </c>
      <c r="F637" s="23" t="s">
        <v>362</v>
      </c>
      <c r="G637" s="25" t="s">
        <v>113</v>
      </c>
      <c r="H637" s="24">
        <v>0.76</v>
      </c>
      <c r="I637" s="25" t="s">
        <v>254</v>
      </c>
      <c r="J637" s="25" t="s">
        <v>7</v>
      </c>
      <c r="K637" s="25" t="s">
        <v>9</v>
      </c>
      <c r="L637" s="25">
        <f t="shared" si="53"/>
        <v>670</v>
      </c>
      <c r="M637" s="4" t="str">
        <f>IF(Table3[[#This Row],[Afrondingsdatum YB]]="N/A","-",Table3[[#This Row],[Afrondingsdatum YB]]-Table3[[#This Row],[StartDatum]])</f>
        <v>-</v>
      </c>
      <c r="N637" s="4"/>
      <c r="O637">
        <f t="shared" si="55"/>
        <v>97</v>
      </c>
      <c r="P637">
        <f t="shared" si="58"/>
        <v>109</v>
      </c>
      <c r="Q637">
        <f t="shared" si="58"/>
        <v>105</v>
      </c>
      <c r="R637">
        <f t="shared" si="58"/>
        <v>110</v>
      </c>
      <c r="S637">
        <f t="shared" si="58"/>
        <v>46</v>
      </c>
      <c r="T637">
        <f t="shared" si="58"/>
        <v>99</v>
      </c>
      <c r="U637">
        <f t="shared" si="58"/>
        <v>104</v>
      </c>
      <c r="V637">
        <f t="shared" si="58"/>
        <v>101</v>
      </c>
      <c r="W637" s="5">
        <f t="shared" si="56"/>
        <v>844</v>
      </c>
      <c r="X637" s="9" t="str">
        <f t="shared" si="57"/>
        <v>m844</v>
      </c>
    </row>
    <row r="638" spans="1:24" x14ac:dyDescent="0.2">
      <c r="A638" s="9" t="s">
        <v>425</v>
      </c>
      <c r="B638" s="9">
        <v>1</v>
      </c>
      <c r="C638" s="17">
        <v>11</v>
      </c>
      <c r="D638" s="20"/>
      <c r="E638" s="18">
        <v>45243</v>
      </c>
      <c r="F638" s="18" t="s">
        <v>364</v>
      </c>
      <c r="G638" s="20" t="s">
        <v>13</v>
      </c>
      <c r="H638" s="19">
        <v>1</v>
      </c>
      <c r="I638" s="20" t="s">
        <v>97</v>
      </c>
      <c r="J638" s="20" t="s">
        <v>7</v>
      </c>
      <c r="K638" s="19">
        <v>0.55000000000000004</v>
      </c>
      <c r="L638" s="20">
        <f t="shared" si="53"/>
        <v>669</v>
      </c>
      <c r="M638" s="4" t="str">
        <f>IF(Table3[[#This Row],[Afrondingsdatum YB]]="N/A","-",Table3[[#This Row],[Afrondingsdatum YB]]-Table3[[#This Row],[StartDatum]])</f>
        <v>-</v>
      </c>
      <c r="N638" s="4"/>
      <c r="O638">
        <f t="shared" si="55"/>
        <v>97</v>
      </c>
      <c r="P638">
        <f t="shared" si="58"/>
        <v>109</v>
      </c>
      <c r="Q638">
        <f t="shared" si="58"/>
        <v>105</v>
      </c>
      <c r="R638">
        <f t="shared" si="58"/>
        <v>110</v>
      </c>
      <c r="S638">
        <f t="shared" si="58"/>
        <v>101</v>
      </c>
      <c r="T638">
        <f t="shared" si="58"/>
        <v>46</v>
      </c>
      <c r="U638">
        <f t="shared" si="58"/>
        <v>101</v>
      </c>
      <c r="V638">
        <f t="shared" si="58"/>
        <v>108</v>
      </c>
      <c r="W638" s="5">
        <f t="shared" si="56"/>
        <v>850</v>
      </c>
      <c r="X638" s="9" t="str">
        <f t="shared" si="57"/>
        <v>m850</v>
      </c>
    </row>
    <row r="639" spans="1:24" x14ac:dyDescent="0.2">
      <c r="A639" s="9" t="s">
        <v>425</v>
      </c>
      <c r="B639" s="9">
        <v>1</v>
      </c>
      <c r="C639" s="17">
        <v>11</v>
      </c>
      <c r="D639" s="20"/>
      <c r="E639" s="23">
        <v>45243</v>
      </c>
      <c r="F639" s="23" t="s">
        <v>363</v>
      </c>
      <c r="G639" s="25" t="s">
        <v>14</v>
      </c>
      <c r="H639" s="24">
        <v>0.68</v>
      </c>
      <c r="I639" s="25" t="s">
        <v>166</v>
      </c>
      <c r="J639" s="25" t="s">
        <v>7</v>
      </c>
      <c r="K639" s="25" t="s">
        <v>9</v>
      </c>
      <c r="L639" s="25">
        <f t="shared" si="53"/>
        <v>676</v>
      </c>
      <c r="M639" s="4" t="str">
        <f>IF(Table3[[#This Row],[Afrondingsdatum YB]]="N/A","-",Table3[[#This Row],[Afrondingsdatum YB]]-Table3[[#This Row],[StartDatum]])</f>
        <v>-</v>
      </c>
      <c r="N639" s="4"/>
      <c r="O639">
        <f t="shared" si="55"/>
        <v>97</v>
      </c>
      <c r="P639">
        <f t="shared" si="58"/>
        <v>110</v>
      </c>
      <c r="Q639">
        <f t="shared" si="58"/>
        <v>103</v>
      </c>
      <c r="R639">
        <f t="shared" si="58"/>
        <v>101</v>
      </c>
      <c r="S639">
        <f t="shared" si="58"/>
        <v>108</v>
      </c>
      <c r="T639">
        <f t="shared" si="58"/>
        <v>111</v>
      </c>
      <c r="U639">
        <f t="shared" si="58"/>
        <v>46</v>
      </c>
      <c r="V639">
        <f t="shared" si="58"/>
        <v>115</v>
      </c>
      <c r="W639" s="5">
        <f t="shared" si="56"/>
        <v>866</v>
      </c>
      <c r="X639" s="9" t="str">
        <f t="shared" si="57"/>
        <v>n866</v>
      </c>
    </row>
    <row r="640" spans="1:24" x14ac:dyDescent="0.2">
      <c r="A640" s="9" t="s">
        <v>425</v>
      </c>
      <c r="B640" s="9">
        <v>1</v>
      </c>
      <c r="C640" s="17">
        <v>11</v>
      </c>
      <c r="D640" s="20"/>
      <c r="E640" s="18">
        <v>45243</v>
      </c>
      <c r="F640" s="18" t="s">
        <v>362</v>
      </c>
      <c r="G640" s="20" t="s">
        <v>15</v>
      </c>
      <c r="H640" s="19">
        <v>1</v>
      </c>
      <c r="I640" s="20" t="s">
        <v>215</v>
      </c>
      <c r="J640" s="34">
        <v>45238</v>
      </c>
      <c r="K640" s="19">
        <v>0.75</v>
      </c>
      <c r="L640" s="20">
        <f t="shared" si="53"/>
        <v>755</v>
      </c>
      <c r="M640" s="4">
        <f>IF(Table3[[#This Row],[Afrondingsdatum YB]]="N/A","-",Table3[[#This Row],[Afrondingsdatum YB]]-Table3[[#This Row],[StartDatum]])</f>
        <v>45238</v>
      </c>
      <c r="N640" s="4"/>
      <c r="O640">
        <f t="shared" si="55"/>
        <v>97</v>
      </c>
      <c r="P640">
        <f t="shared" si="58"/>
        <v>115</v>
      </c>
      <c r="Q640">
        <f t="shared" si="58"/>
        <v>104</v>
      </c>
      <c r="R640">
        <f t="shared" si="58"/>
        <v>111</v>
      </c>
      <c r="S640">
        <f t="shared" si="58"/>
        <v>101</v>
      </c>
      <c r="T640">
        <f t="shared" si="58"/>
        <v>116</v>
      </c>
      <c r="U640">
        <f t="shared" si="58"/>
        <v>111</v>
      </c>
      <c r="V640">
        <f t="shared" si="58"/>
        <v>115</v>
      </c>
      <c r="W640" s="5">
        <f t="shared" si="56"/>
        <v>937</v>
      </c>
      <c r="X640" s="9" t="str">
        <f t="shared" si="57"/>
        <v>s937</v>
      </c>
    </row>
    <row r="641" spans="1:24" x14ac:dyDescent="0.2">
      <c r="A641" s="9" t="s">
        <v>425</v>
      </c>
      <c r="B641" s="9">
        <v>1</v>
      </c>
      <c r="C641" s="17">
        <v>11</v>
      </c>
      <c r="D641" s="20"/>
      <c r="E641" s="23">
        <v>45243</v>
      </c>
      <c r="F641" s="23" t="s">
        <v>364</v>
      </c>
      <c r="G641" s="25" t="s">
        <v>16</v>
      </c>
      <c r="H641" s="24">
        <v>1</v>
      </c>
      <c r="I641" s="25" t="s">
        <v>255</v>
      </c>
      <c r="J641" s="32">
        <v>45236</v>
      </c>
      <c r="K641" s="24">
        <v>0.85</v>
      </c>
      <c r="L641" s="25">
        <f t="shared" si="53"/>
        <v>672</v>
      </c>
      <c r="M641" s="4">
        <f>IF(Table3[[#This Row],[Afrondingsdatum YB]]="N/A","-",Table3[[#This Row],[Afrondingsdatum YB]]-Table3[[#This Row],[StartDatum]])</f>
        <v>45236</v>
      </c>
      <c r="N641" s="4"/>
      <c r="O641">
        <f t="shared" si="55"/>
        <v>97</v>
      </c>
      <c r="P641">
        <f t="shared" si="58"/>
        <v>121</v>
      </c>
      <c r="Q641">
        <f t="shared" si="58"/>
        <v>100</v>
      </c>
      <c r="R641">
        <f t="shared" si="58"/>
        <v>101</v>
      </c>
      <c r="S641">
        <f t="shared" si="58"/>
        <v>110</v>
      </c>
      <c r="T641">
        <f t="shared" si="58"/>
        <v>46</v>
      </c>
      <c r="U641">
        <f t="shared" si="58"/>
        <v>97</v>
      </c>
      <c r="V641">
        <f t="shared" si="58"/>
        <v>110</v>
      </c>
      <c r="W641" s="5">
        <f t="shared" si="56"/>
        <v>846</v>
      </c>
      <c r="X641" s="9" t="str">
        <f t="shared" si="57"/>
        <v>y846</v>
      </c>
    </row>
    <row r="642" spans="1:24" x14ac:dyDescent="0.2">
      <c r="A642" s="9" t="s">
        <v>425</v>
      </c>
      <c r="B642" s="9">
        <v>1</v>
      </c>
      <c r="C642" s="17">
        <v>11</v>
      </c>
      <c r="D642" s="20"/>
      <c r="E642" s="18">
        <v>45243</v>
      </c>
      <c r="F642" s="18" t="s">
        <v>362</v>
      </c>
      <c r="G642" s="20" t="s">
        <v>17</v>
      </c>
      <c r="H642" s="19">
        <v>1</v>
      </c>
      <c r="I642" s="20" t="s">
        <v>256</v>
      </c>
      <c r="J642" s="34">
        <v>45240</v>
      </c>
      <c r="K642" s="19">
        <v>0.75</v>
      </c>
      <c r="L642" s="20">
        <f t="shared" ref="L642:L705" si="59">SUM(O642:U642)</f>
        <v>707</v>
      </c>
      <c r="M642" s="4">
        <f>IF(Table3[[#This Row],[Afrondingsdatum YB]]="N/A","-",Table3[[#This Row],[Afrondingsdatum YB]]-Table3[[#This Row],[StartDatum]])</f>
        <v>45240</v>
      </c>
      <c r="N642" s="4"/>
      <c r="O642">
        <f t="shared" si="55"/>
        <v>98</v>
      </c>
      <c r="P642">
        <f t="shared" si="58"/>
        <v>101</v>
      </c>
      <c r="Q642">
        <f t="shared" si="58"/>
        <v>116</v>
      </c>
      <c r="R642">
        <f t="shared" si="58"/>
        <v>117</v>
      </c>
      <c r="S642">
        <f t="shared" si="58"/>
        <v>108</v>
      </c>
      <c r="T642">
        <f t="shared" si="58"/>
        <v>46</v>
      </c>
      <c r="U642">
        <f t="shared" si="58"/>
        <v>121</v>
      </c>
      <c r="V642">
        <f t="shared" si="58"/>
        <v>117</v>
      </c>
      <c r="W642" s="5">
        <f t="shared" si="56"/>
        <v>918</v>
      </c>
      <c r="X642" s="9" t="str">
        <f t="shared" si="57"/>
        <v>e918</v>
      </c>
    </row>
    <row r="643" spans="1:24" x14ac:dyDescent="0.2">
      <c r="A643" s="9" t="s">
        <v>425</v>
      </c>
      <c r="B643" s="9">
        <v>1</v>
      </c>
      <c r="C643" s="17">
        <v>11</v>
      </c>
      <c r="D643" s="20"/>
      <c r="E643" s="23">
        <v>45243</v>
      </c>
      <c r="F643" s="23" t="s">
        <v>364</v>
      </c>
      <c r="G643" s="25" t="s">
        <v>115</v>
      </c>
      <c r="H643" s="24">
        <v>1</v>
      </c>
      <c r="I643" s="25" t="s">
        <v>167</v>
      </c>
      <c r="J643" s="32">
        <v>45237</v>
      </c>
      <c r="K643" s="24">
        <v>0.78</v>
      </c>
      <c r="L643" s="25">
        <f t="shared" si="59"/>
        <v>748</v>
      </c>
      <c r="M643" s="4">
        <f>IF(Table3[[#This Row],[Afrondingsdatum YB]]="N/A","-",Table3[[#This Row],[Afrondingsdatum YB]]-Table3[[#This Row],[StartDatum]])</f>
        <v>45237</v>
      </c>
      <c r="N643" s="4"/>
      <c r="O643">
        <f t="shared" si="55"/>
        <v>98</v>
      </c>
      <c r="P643">
        <f t="shared" si="58"/>
        <v>106</v>
      </c>
      <c r="Q643">
        <f t="shared" si="58"/>
        <v>111</v>
      </c>
      <c r="R643">
        <f t="shared" si="58"/>
        <v>114</v>
      </c>
      <c r="S643">
        <f t="shared" si="58"/>
        <v>110</v>
      </c>
      <c r="T643">
        <f t="shared" si="58"/>
        <v>108</v>
      </c>
      <c r="U643">
        <f t="shared" si="58"/>
        <v>101</v>
      </c>
      <c r="V643">
        <f t="shared" si="58"/>
        <v>118</v>
      </c>
      <c r="W643" s="5">
        <f t="shared" si="56"/>
        <v>950</v>
      </c>
      <c r="X643" s="9" t="str">
        <f t="shared" si="57"/>
        <v>j950</v>
      </c>
    </row>
    <row r="644" spans="1:24" x14ac:dyDescent="0.2">
      <c r="A644" s="9" t="s">
        <v>425</v>
      </c>
      <c r="B644" s="9">
        <v>1</v>
      </c>
      <c r="C644" s="17">
        <v>11</v>
      </c>
      <c r="D644" s="20"/>
      <c r="E644" s="18">
        <v>45243</v>
      </c>
      <c r="F644" s="18" t="s">
        <v>363</v>
      </c>
      <c r="G644" s="20" t="s">
        <v>18</v>
      </c>
      <c r="H644" s="19">
        <v>1</v>
      </c>
      <c r="I644" s="20" t="s">
        <v>202</v>
      </c>
      <c r="J644" s="34">
        <v>45227</v>
      </c>
      <c r="K644" s="19">
        <v>0.73</v>
      </c>
      <c r="L644" s="20">
        <f t="shared" si="59"/>
        <v>687</v>
      </c>
      <c r="M644" s="4">
        <f>IF(Table3[[#This Row],[Afrondingsdatum YB]]="N/A","-",Table3[[#This Row],[Afrondingsdatum YB]]-Table3[[#This Row],[StartDatum]])</f>
        <v>45227</v>
      </c>
      <c r="N644" s="4"/>
      <c r="O644">
        <f t="shared" si="55"/>
        <v>98</v>
      </c>
      <c r="P644">
        <f t="shared" si="58"/>
        <v>114</v>
      </c>
      <c r="Q644">
        <f t="shared" si="58"/>
        <v>101</v>
      </c>
      <c r="R644">
        <f t="shared" si="58"/>
        <v>116</v>
      </c>
      <c r="S644">
        <f t="shared" si="58"/>
        <v>104</v>
      </c>
      <c r="T644">
        <f t="shared" si="58"/>
        <v>46</v>
      </c>
      <c r="U644">
        <f t="shared" si="58"/>
        <v>108</v>
      </c>
      <c r="V644">
        <f t="shared" si="58"/>
        <v>97</v>
      </c>
      <c r="W644" s="5">
        <f t="shared" si="56"/>
        <v>842</v>
      </c>
      <c r="X644" s="9" t="str">
        <f t="shared" si="57"/>
        <v>r842</v>
      </c>
    </row>
    <row r="645" spans="1:24" x14ac:dyDescent="0.2">
      <c r="A645" s="9" t="s">
        <v>425</v>
      </c>
      <c r="B645" s="9">
        <v>1</v>
      </c>
      <c r="C645" s="17">
        <v>11</v>
      </c>
      <c r="D645" s="20"/>
      <c r="E645" s="23">
        <v>45243</v>
      </c>
      <c r="F645" s="23" t="s">
        <v>364</v>
      </c>
      <c r="G645" s="25" t="s">
        <v>19</v>
      </c>
      <c r="H645" s="24">
        <v>1</v>
      </c>
      <c r="I645" s="25" t="s">
        <v>170</v>
      </c>
      <c r="J645" s="32">
        <v>45212</v>
      </c>
      <c r="K645" s="24">
        <v>0.83</v>
      </c>
      <c r="L645" s="25">
        <f t="shared" si="59"/>
        <v>733</v>
      </c>
      <c r="M645" s="4">
        <f>IF(Table3[[#This Row],[Afrondingsdatum YB]]="N/A","-",Table3[[#This Row],[Afrondingsdatum YB]]-Table3[[#This Row],[StartDatum]])</f>
        <v>45212</v>
      </c>
      <c r="N645" s="4"/>
      <c r="O645">
        <f t="shared" si="55"/>
        <v>99</v>
      </c>
      <c r="P645">
        <f t="shared" si="58"/>
        <v>104</v>
      </c>
      <c r="Q645">
        <f t="shared" si="58"/>
        <v>97</v>
      </c>
      <c r="R645">
        <f t="shared" si="58"/>
        <v>114</v>
      </c>
      <c r="S645">
        <f t="shared" si="58"/>
        <v>108</v>
      </c>
      <c r="T645">
        <f t="shared" si="58"/>
        <v>101</v>
      </c>
      <c r="U645">
        <f t="shared" si="58"/>
        <v>110</v>
      </c>
      <c r="V645">
        <f t="shared" si="58"/>
        <v>101</v>
      </c>
      <c r="W645" s="5">
        <f t="shared" si="56"/>
        <v>891</v>
      </c>
      <c r="X645" s="9" t="str">
        <f t="shared" si="57"/>
        <v>h891</v>
      </c>
    </row>
    <row r="646" spans="1:24" x14ac:dyDescent="0.2">
      <c r="A646" s="9" t="s">
        <v>425</v>
      </c>
      <c r="B646" s="9">
        <v>1</v>
      </c>
      <c r="C646" s="17">
        <v>11</v>
      </c>
      <c r="D646" s="20"/>
      <c r="E646" s="18">
        <v>45243</v>
      </c>
      <c r="F646" s="18" t="s">
        <v>364</v>
      </c>
      <c r="G646" s="20" t="s">
        <v>20</v>
      </c>
      <c r="H646" s="19">
        <v>1</v>
      </c>
      <c r="I646" s="20" t="s">
        <v>171</v>
      </c>
      <c r="J646" s="34">
        <v>45209</v>
      </c>
      <c r="K646" s="19">
        <v>0.83</v>
      </c>
      <c r="L646" s="20">
        <f t="shared" si="59"/>
        <v>668</v>
      </c>
      <c r="M646" s="4">
        <f>IF(Table3[[#This Row],[Afrondingsdatum YB]]="N/A","-",Table3[[#This Row],[Afrondingsdatum YB]]-Table3[[#This Row],[StartDatum]])</f>
        <v>45209</v>
      </c>
      <c r="N646" s="4"/>
      <c r="O646">
        <f t="shared" si="55"/>
        <v>99</v>
      </c>
      <c r="P646">
        <f t="shared" si="58"/>
        <v>104</v>
      </c>
      <c r="Q646">
        <f t="shared" si="58"/>
        <v>101</v>
      </c>
      <c r="R646">
        <f t="shared" si="58"/>
        <v>110</v>
      </c>
      <c r="S646">
        <f t="shared" si="58"/>
        <v>111</v>
      </c>
      <c r="T646">
        <f t="shared" si="58"/>
        <v>97</v>
      </c>
      <c r="U646">
        <f t="shared" si="58"/>
        <v>46</v>
      </c>
      <c r="V646">
        <f t="shared" si="58"/>
        <v>118</v>
      </c>
      <c r="W646" s="5">
        <f t="shared" si="56"/>
        <v>854</v>
      </c>
      <c r="X646" s="9" t="str">
        <f t="shared" si="57"/>
        <v>h854</v>
      </c>
    </row>
    <row r="647" spans="1:24" x14ac:dyDescent="0.2">
      <c r="A647" s="9" t="s">
        <v>425</v>
      </c>
      <c r="B647" s="9">
        <v>1</v>
      </c>
      <c r="C647" s="17">
        <v>11</v>
      </c>
      <c r="D647" s="20"/>
      <c r="E647" s="23">
        <v>45243</v>
      </c>
      <c r="F647" s="23" t="s">
        <v>364</v>
      </c>
      <c r="G647" s="25" t="s">
        <v>21</v>
      </c>
      <c r="H647" s="24">
        <v>1</v>
      </c>
      <c r="I647" s="25" t="s">
        <v>208</v>
      </c>
      <c r="J647" s="32">
        <v>45237</v>
      </c>
      <c r="K647" s="24">
        <v>0.73</v>
      </c>
      <c r="L647" s="25">
        <f t="shared" si="59"/>
        <v>681</v>
      </c>
      <c r="M647" s="4">
        <f>IF(Table3[[#This Row],[Afrondingsdatum YB]]="N/A","-",Table3[[#This Row],[Afrondingsdatum YB]]-Table3[[#This Row],[StartDatum]])</f>
        <v>45237</v>
      </c>
      <c r="N647" s="4"/>
      <c r="O647">
        <f t="shared" si="55"/>
        <v>100</v>
      </c>
      <c r="P647">
        <f t="shared" si="58"/>
        <v>97</v>
      </c>
      <c r="Q647">
        <f t="shared" si="58"/>
        <v>115</v>
      </c>
      <c r="R647">
        <f t="shared" si="58"/>
        <v>116</v>
      </c>
      <c r="S647">
        <f t="shared" si="58"/>
        <v>97</v>
      </c>
      <c r="T647">
        <f t="shared" si="58"/>
        <v>110</v>
      </c>
      <c r="U647">
        <f t="shared" si="58"/>
        <v>46</v>
      </c>
      <c r="V647">
        <f t="shared" si="58"/>
        <v>109</v>
      </c>
      <c r="W647" s="5">
        <f t="shared" si="56"/>
        <v>885</v>
      </c>
      <c r="X647" s="9" t="str">
        <f t="shared" si="57"/>
        <v>a885</v>
      </c>
    </row>
    <row r="648" spans="1:24" x14ac:dyDescent="0.2">
      <c r="A648" s="9" t="s">
        <v>425</v>
      </c>
      <c r="B648" s="9">
        <v>1</v>
      </c>
      <c r="C648" s="17">
        <v>11</v>
      </c>
      <c r="D648" s="20"/>
      <c r="E648" s="18">
        <v>45243</v>
      </c>
      <c r="F648" s="18" t="s">
        <v>363</v>
      </c>
      <c r="G648" s="20" t="s">
        <v>22</v>
      </c>
      <c r="H648" s="19">
        <v>1</v>
      </c>
      <c r="I648" s="20" t="s">
        <v>221</v>
      </c>
      <c r="J648" s="34">
        <v>45225</v>
      </c>
      <c r="K648" s="19">
        <v>0.7</v>
      </c>
      <c r="L648" s="20">
        <f t="shared" si="59"/>
        <v>676</v>
      </c>
      <c r="M648" s="4">
        <f>IF(Table3[[#This Row],[Afrondingsdatum YB]]="N/A","-",Table3[[#This Row],[Afrondingsdatum YB]]-Table3[[#This Row],[StartDatum]])</f>
        <v>45225</v>
      </c>
      <c r="N648" s="4"/>
      <c r="O648">
        <f t="shared" si="55"/>
        <v>100</v>
      </c>
      <c r="P648">
        <f t="shared" si="58"/>
        <v>101</v>
      </c>
      <c r="Q648">
        <f t="shared" si="58"/>
        <v>109</v>
      </c>
      <c r="R648">
        <f t="shared" si="58"/>
        <v>105</v>
      </c>
      <c r="S648">
        <f t="shared" si="58"/>
        <v>46</v>
      </c>
      <c r="T648">
        <f t="shared" si="58"/>
        <v>118</v>
      </c>
      <c r="U648">
        <f t="shared" si="58"/>
        <v>97</v>
      </c>
      <c r="V648">
        <f t="shared" si="58"/>
        <v>110</v>
      </c>
      <c r="W648" s="5">
        <f t="shared" si="56"/>
        <v>875</v>
      </c>
      <c r="X648" s="9" t="str">
        <f t="shared" si="57"/>
        <v>e875</v>
      </c>
    </row>
    <row r="649" spans="1:24" x14ac:dyDescent="0.2">
      <c r="A649" s="9" t="s">
        <v>425</v>
      </c>
      <c r="B649" s="9">
        <v>1</v>
      </c>
      <c r="C649" s="17">
        <v>11</v>
      </c>
      <c r="D649" s="20"/>
      <c r="E649" s="23">
        <v>45243</v>
      </c>
      <c r="F649" s="23" t="s">
        <v>363</v>
      </c>
      <c r="G649" s="25" t="s">
        <v>23</v>
      </c>
      <c r="H649" s="24">
        <v>0.97</v>
      </c>
      <c r="I649" s="25" t="s">
        <v>227</v>
      </c>
      <c r="J649" s="25" t="s">
        <v>7</v>
      </c>
      <c r="K649" s="25" t="s">
        <v>9</v>
      </c>
      <c r="L649" s="25">
        <f t="shared" si="59"/>
        <v>681</v>
      </c>
      <c r="M649" s="4" t="str">
        <f>IF(Table3[[#This Row],[Afrondingsdatum YB]]="N/A","-",Table3[[#This Row],[Afrondingsdatum YB]]-Table3[[#This Row],[StartDatum]])</f>
        <v>-</v>
      </c>
      <c r="N649" s="4"/>
      <c r="O649">
        <f t="shared" si="55"/>
        <v>101</v>
      </c>
      <c r="P649">
        <f t="shared" si="58"/>
        <v>108</v>
      </c>
      <c r="Q649">
        <f t="shared" si="58"/>
        <v>105</v>
      </c>
      <c r="R649">
        <f t="shared" si="58"/>
        <v>122</v>
      </c>
      <c r="S649">
        <f t="shared" si="58"/>
        <v>101</v>
      </c>
      <c r="T649">
        <f t="shared" si="58"/>
        <v>46</v>
      </c>
      <c r="U649">
        <f t="shared" si="58"/>
        <v>98</v>
      </c>
      <c r="V649">
        <f t="shared" si="58"/>
        <v>97</v>
      </c>
      <c r="W649" s="5">
        <f t="shared" si="56"/>
        <v>843</v>
      </c>
      <c r="X649" s="9" t="str">
        <f t="shared" si="57"/>
        <v>l843</v>
      </c>
    </row>
    <row r="650" spans="1:24" x14ac:dyDescent="0.2">
      <c r="A650" s="9" t="s">
        <v>425</v>
      </c>
      <c r="B650" s="9">
        <v>1</v>
      </c>
      <c r="C650" s="17">
        <v>11</v>
      </c>
      <c r="D650" s="20"/>
      <c r="E650" s="18">
        <v>45243</v>
      </c>
      <c r="F650" s="18" t="s">
        <v>363</v>
      </c>
      <c r="G650" s="20" t="s">
        <v>24</v>
      </c>
      <c r="H650" s="19">
        <v>1</v>
      </c>
      <c r="I650" s="20" t="s">
        <v>222</v>
      </c>
      <c r="J650" s="34">
        <v>45225</v>
      </c>
      <c r="K650" s="19">
        <v>0.73</v>
      </c>
      <c r="L650" s="20">
        <f t="shared" si="59"/>
        <v>705</v>
      </c>
      <c r="M650" s="4">
        <f>IF(Table3[[#This Row],[Afrondingsdatum YB]]="N/A","-",Table3[[#This Row],[Afrondingsdatum YB]]-Table3[[#This Row],[StartDatum]])</f>
        <v>45225</v>
      </c>
      <c r="N650" s="4"/>
      <c r="O650">
        <f t="shared" si="55"/>
        <v>102</v>
      </c>
      <c r="P650">
        <f t="shared" si="58"/>
        <v>105</v>
      </c>
      <c r="Q650">
        <f t="shared" si="58"/>
        <v>115</v>
      </c>
      <c r="R650">
        <f t="shared" si="58"/>
        <v>116</v>
      </c>
      <c r="S650">
        <f t="shared" si="58"/>
        <v>111</v>
      </c>
      <c r="T650">
        <f t="shared" si="58"/>
        <v>110</v>
      </c>
      <c r="U650">
        <f t="shared" si="58"/>
        <v>46</v>
      </c>
      <c r="V650">
        <f t="shared" si="58"/>
        <v>99</v>
      </c>
      <c r="W650" s="5">
        <f t="shared" si="56"/>
        <v>895</v>
      </c>
      <c r="X650" s="9" t="str">
        <f t="shared" si="57"/>
        <v>i895</v>
      </c>
    </row>
    <row r="651" spans="1:24" x14ac:dyDescent="0.2">
      <c r="A651" s="9" t="s">
        <v>425</v>
      </c>
      <c r="B651" s="9">
        <v>1</v>
      </c>
      <c r="C651" s="17">
        <v>11</v>
      </c>
      <c r="D651" s="20"/>
      <c r="E651" s="23">
        <v>45243</v>
      </c>
      <c r="F651" s="23" t="s">
        <v>362</v>
      </c>
      <c r="G651" s="25" t="s">
        <v>118</v>
      </c>
      <c r="H651" s="24">
        <v>0.99</v>
      </c>
      <c r="I651" s="25" t="s">
        <v>257</v>
      </c>
      <c r="J651" s="25" t="s">
        <v>7</v>
      </c>
      <c r="K651" s="25" t="s">
        <v>9</v>
      </c>
      <c r="L651" s="25">
        <f t="shared" si="59"/>
        <v>756</v>
      </c>
      <c r="M651" s="4" t="str">
        <f>IF(Table3[[#This Row],[Afrondingsdatum YB]]="N/A","-",Table3[[#This Row],[Afrondingsdatum YB]]-Table3[[#This Row],[StartDatum]])</f>
        <v>-</v>
      </c>
      <c r="N651" s="4"/>
      <c r="O651">
        <f t="shared" si="55"/>
        <v>103</v>
      </c>
      <c r="P651">
        <f t="shared" si="58"/>
        <v>101</v>
      </c>
      <c r="Q651">
        <f t="shared" si="58"/>
        <v>110</v>
      </c>
      <c r="R651">
        <f t="shared" si="58"/>
        <v>116</v>
      </c>
      <c r="S651">
        <f t="shared" si="58"/>
        <v>97</v>
      </c>
      <c r="T651">
        <f t="shared" si="58"/>
        <v>108</v>
      </c>
      <c r="U651">
        <f t="shared" si="58"/>
        <v>121</v>
      </c>
      <c r="V651">
        <f t="shared" si="58"/>
        <v>46</v>
      </c>
      <c r="W651" s="5">
        <f t="shared" si="56"/>
        <v>885</v>
      </c>
      <c r="X651" s="9" t="str">
        <f t="shared" si="57"/>
        <v>e885</v>
      </c>
    </row>
    <row r="652" spans="1:24" x14ac:dyDescent="0.2">
      <c r="A652" s="9" t="s">
        <v>425</v>
      </c>
      <c r="B652" s="9">
        <v>1</v>
      </c>
      <c r="C652" s="17">
        <v>11</v>
      </c>
      <c r="D652" s="20"/>
      <c r="E652" s="18">
        <v>45243</v>
      </c>
      <c r="F652" s="18" t="s">
        <v>362</v>
      </c>
      <c r="G652" s="20" t="s">
        <v>25</v>
      </c>
      <c r="H652" s="19">
        <v>1</v>
      </c>
      <c r="I652" s="20" t="s">
        <v>215</v>
      </c>
      <c r="J652" s="34">
        <v>45231</v>
      </c>
      <c r="K652" s="19">
        <v>0.73</v>
      </c>
      <c r="L652" s="20">
        <f t="shared" si="59"/>
        <v>690</v>
      </c>
      <c r="M652" s="4">
        <f>IF(Table3[[#This Row],[Afrondingsdatum YB]]="N/A","-",Table3[[#This Row],[Afrondingsdatum YB]]-Table3[[#This Row],[StartDatum]])</f>
        <v>45231</v>
      </c>
      <c r="N652" s="4"/>
      <c r="O652">
        <f t="shared" si="55"/>
        <v>103</v>
      </c>
      <c r="P652">
        <f t="shared" si="58"/>
        <v>108</v>
      </c>
      <c r="Q652">
        <f t="shared" si="58"/>
        <v>105</v>
      </c>
      <c r="R652">
        <f t="shared" si="58"/>
        <v>103</v>
      </c>
      <c r="S652">
        <f t="shared" si="58"/>
        <v>111</v>
      </c>
      <c r="T652">
        <f t="shared" si="58"/>
        <v>114</v>
      </c>
      <c r="U652">
        <f t="shared" si="58"/>
        <v>46</v>
      </c>
      <c r="V652">
        <f t="shared" si="58"/>
        <v>106</v>
      </c>
      <c r="W652" s="5">
        <f t="shared" si="56"/>
        <v>875</v>
      </c>
      <c r="X652" s="9" t="str">
        <f t="shared" si="57"/>
        <v>l875</v>
      </c>
    </row>
    <row r="653" spans="1:24" x14ac:dyDescent="0.2">
      <c r="A653" s="9" t="s">
        <v>425</v>
      </c>
      <c r="B653" s="9">
        <v>1</v>
      </c>
      <c r="C653" s="17">
        <v>11</v>
      </c>
      <c r="D653" s="20"/>
      <c r="E653" s="23">
        <v>45243</v>
      </c>
      <c r="F653" s="23" t="s">
        <v>363</v>
      </c>
      <c r="G653" s="25" t="s">
        <v>26</v>
      </c>
      <c r="H653" s="24">
        <v>1</v>
      </c>
      <c r="I653" s="25" t="s">
        <v>240</v>
      </c>
      <c r="J653" s="32">
        <v>45230</v>
      </c>
      <c r="K653" s="24">
        <v>0.83</v>
      </c>
      <c r="L653" s="25">
        <f t="shared" si="59"/>
        <v>690</v>
      </c>
      <c r="M653" s="4">
        <f>IF(Table3[[#This Row],[Afrondingsdatum YB]]="N/A","-",Table3[[#This Row],[Afrondingsdatum YB]]-Table3[[#This Row],[StartDatum]])</f>
        <v>45230</v>
      </c>
      <c r="N653" s="4"/>
      <c r="O653">
        <f t="shared" si="55"/>
        <v>104</v>
      </c>
      <c r="P653">
        <f t="shared" si="58"/>
        <v>97</v>
      </c>
      <c r="Q653">
        <f t="shared" si="58"/>
        <v>122</v>
      </c>
      <c r="R653">
        <f t="shared" si="58"/>
        <v>101</v>
      </c>
      <c r="S653">
        <f t="shared" si="58"/>
        <v>109</v>
      </c>
      <c r="T653">
        <f t="shared" si="58"/>
        <v>46</v>
      </c>
      <c r="U653">
        <f t="shared" si="58"/>
        <v>111</v>
      </c>
      <c r="V653">
        <f t="shared" si="58"/>
        <v>110</v>
      </c>
      <c r="W653" s="5">
        <f t="shared" si="56"/>
        <v>920</v>
      </c>
      <c r="X653" s="9" t="str">
        <f t="shared" si="57"/>
        <v>a920</v>
      </c>
    </row>
    <row r="654" spans="1:24" x14ac:dyDescent="0.2">
      <c r="A654" s="9" t="s">
        <v>425</v>
      </c>
      <c r="B654" s="9">
        <v>1</v>
      </c>
      <c r="C654" s="17">
        <v>11</v>
      </c>
      <c r="D654" s="20"/>
      <c r="E654" s="18">
        <v>45243</v>
      </c>
      <c r="F654" s="18" t="s">
        <v>364</v>
      </c>
      <c r="G654" s="20" t="s">
        <v>27</v>
      </c>
      <c r="H654" s="19">
        <v>0.98</v>
      </c>
      <c r="I654" s="20" t="s">
        <v>258</v>
      </c>
      <c r="J654" s="20" t="s">
        <v>7</v>
      </c>
      <c r="K654" s="20" t="s">
        <v>9</v>
      </c>
      <c r="L654" s="20">
        <f t="shared" si="59"/>
        <v>734</v>
      </c>
      <c r="M654" s="4" t="str">
        <f>IF(Table3[[#This Row],[Afrondingsdatum YB]]="N/A","-",Table3[[#This Row],[Afrondingsdatum YB]]-Table3[[#This Row],[StartDatum]])</f>
        <v>-</v>
      </c>
      <c r="N654" s="4"/>
      <c r="O654">
        <f t="shared" si="55"/>
        <v>104</v>
      </c>
      <c r="P654">
        <f t="shared" si="58"/>
        <v>101</v>
      </c>
      <c r="Q654">
        <f t="shared" si="58"/>
        <v>114</v>
      </c>
      <c r="R654">
        <f t="shared" si="58"/>
        <v>109</v>
      </c>
      <c r="S654">
        <f t="shared" si="58"/>
        <v>101</v>
      </c>
      <c r="T654">
        <f t="shared" si="58"/>
        <v>108</v>
      </c>
      <c r="U654">
        <f t="shared" si="58"/>
        <v>97</v>
      </c>
      <c r="V654">
        <f t="shared" si="58"/>
        <v>46</v>
      </c>
      <c r="W654" s="5">
        <f t="shared" si="56"/>
        <v>876</v>
      </c>
      <c r="X654" s="9" t="str">
        <f t="shared" si="57"/>
        <v>e876</v>
      </c>
    </row>
    <row r="655" spans="1:24" x14ac:dyDescent="0.2">
      <c r="A655" s="9" t="s">
        <v>425</v>
      </c>
      <c r="B655" s="9">
        <v>1</v>
      </c>
      <c r="C655" s="17">
        <v>11</v>
      </c>
      <c r="D655" s="20"/>
      <c r="E655" s="23">
        <v>45243</v>
      </c>
      <c r="F655" s="23" t="s">
        <v>364</v>
      </c>
      <c r="G655" s="25" t="s">
        <v>28</v>
      </c>
      <c r="H655" s="24">
        <v>1</v>
      </c>
      <c r="I655" s="25" t="s">
        <v>241</v>
      </c>
      <c r="J655" s="32">
        <v>45233</v>
      </c>
      <c r="K655" s="24">
        <v>0.93</v>
      </c>
      <c r="L655" s="25">
        <f t="shared" si="59"/>
        <v>665</v>
      </c>
      <c r="M655" s="4">
        <f>IF(Table3[[#This Row],[Afrondingsdatum YB]]="N/A","-",Table3[[#This Row],[Afrondingsdatum YB]]-Table3[[#This Row],[StartDatum]])</f>
        <v>45233</v>
      </c>
      <c r="N655" s="4"/>
      <c r="O655">
        <f t="shared" si="55"/>
        <v>104</v>
      </c>
      <c r="P655">
        <f t="shared" si="58"/>
        <v>117</v>
      </c>
      <c r="Q655">
        <f t="shared" si="58"/>
        <v>105</v>
      </c>
      <c r="R655">
        <f t="shared" si="58"/>
        <v>98</v>
      </c>
      <c r="S655">
        <f t="shared" si="58"/>
        <v>46</v>
      </c>
      <c r="T655">
        <f t="shared" si="58"/>
        <v>98</v>
      </c>
      <c r="U655">
        <f t="shared" si="58"/>
        <v>97</v>
      </c>
      <c r="V655">
        <f t="shared" si="58"/>
        <v>107</v>
      </c>
      <c r="W655" s="5">
        <f t="shared" si="56"/>
        <v>850</v>
      </c>
      <c r="X655" s="9" t="str">
        <f t="shared" si="57"/>
        <v>u850</v>
      </c>
    </row>
    <row r="656" spans="1:24" x14ac:dyDescent="0.2">
      <c r="A656" s="9" t="s">
        <v>425</v>
      </c>
      <c r="B656" s="9">
        <v>1</v>
      </c>
      <c r="C656" s="17">
        <v>11</v>
      </c>
      <c r="D656" s="20"/>
      <c r="E656" s="18">
        <v>45243</v>
      </c>
      <c r="F656" s="18" t="s">
        <v>363</v>
      </c>
      <c r="G656" s="20" t="s">
        <v>29</v>
      </c>
      <c r="H656" s="19">
        <v>1</v>
      </c>
      <c r="I656" s="20" t="s">
        <v>179</v>
      </c>
      <c r="J656" s="34">
        <v>45210</v>
      </c>
      <c r="K656" s="19">
        <v>0.85</v>
      </c>
      <c r="L656" s="20">
        <f t="shared" si="59"/>
        <v>682</v>
      </c>
      <c r="M656" s="4">
        <f>IF(Table3[[#This Row],[Afrondingsdatum YB]]="N/A","-",Table3[[#This Row],[Afrondingsdatum YB]]-Table3[[#This Row],[StartDatum]])</f>
        <v>45210</v>
      </c>
      <c r="N656" s="4"/>
      <c r="O656">
        <f t="shared" si="55"/>
        <v>105</v>
      </c>
      <c r="P656">
        <f t="shared" si="58"/>
        <v>107</v>
      </c>
      <c r="Q656">
        <f t="shared" si="58"/>
        <v>104</v>
      </c>
      <c r="R656">
        <f t="shared" si="58"/>
        <v>108</v>
      </c>
      <c r="S656">
        <f t="shared" si="58"/>
        <v>97</v>
      </c>
      <c r="T656">
        <f t="shared" si="58"/>
        <v>115</v>
      </c>
      <c r="U656">
        <f t="shared" si="58"/>
        <v>46</v>
      </c>
      <c r="V656">
        <f t="shared" si="58"/>
        <v>98</v>
      </c>
      <c r="W656" s="5">
        <f t="shared" si="56"/>
        <v>854</v>
      </c>
      <c r="X656" s="9" t="str">
        <f t="shared" si="57"/>
        <v>k854</v>
      </c>
    </row>
    <row r="657" spans="1:24" x14ac:dyDescent="0.2">
      <c r="A657" s="9" t="s">
        <v>425</v>
      </c>
      <c r="B657" s="9">
        <v>1</v>
      </c>
      <c r="C657" s="17">
        <v>11</v>
      </c>
      <c r="D657" s="20"/>
      <c r="E657" s="23">
        <v>45243</v>
      </c>
      <c r="F657" s="23" t="s">
        <v>363</v>
      </c>
      <c r="G657" s="25" t="s">
        <v>30</v>
      </c>
      <c r="H657" s="24">
        <v>1</v>
      </c>
      <c r="I657" s="25" t="s">
        <v>225</v>
      </c>
      <c r="J657" s="32">
        <v>45226</v>
      </c>
      <c r="K657" s="24">
        <v>0.75</v>
      </c>
      <c r="L657" s="25">
        <f t="shared" si="59"/>
        <v>701</v>
      </c>
      <c r="M657" s="4">
        <f>IF(Table3[[#This Row],[Afrondingsdatum YB]]="N/A","-",Table3[[#This Row],[Afrondingsdatum YB]]-Table3[[#This Row],[StartDatum]])</f>
        <v>45226</v>
      </c>
      <c r="N657" s="4"/>
      <c r="O657">
        <f t="shared" si="55"/>
        <v>105</v>
      </c>
      <c r="P657">
        <f t="shared" si="58"/>
        <v>108</v>
      </c>
      <c r="Q657">
        <f t="shared" si="58"/>
        <v>107</v>
      </c>
      <c r="R657">
        <f t="shared" si="58"/>
        <v>97</v>
      </c>
      <c r="S657">
        <f t="shared" si="58"/>
        <v>121</v>
      </c>
      <c r="T657">
        <f t="shared" si="58"/>
        <v>46</v>
      </c>
      <c r="U657">
        <f t="shared" si="58"/>
        <v>117</v>
      </c>
      <c r="V657">
        <f t="shared" si="58"/>
        <v>121</v>
      </c>
      <c r="W657" s="5">
        <f t="shared" si="56"/>
        <v>909</v>
      </c>
      <c r="X657" s="9" t="str">
        <f t="shared" si="57"/>
        <v>l909</v>
      </c>
    </row>
    <row r="658" spans="1:24" x14ac:dyDescent="0.2">
      <c r="A658" s="9" t="s">
        <v>425</v>
      </c>
      <c r="B658" s="9">
        <v>1</v>
      </c>
      <c r="C658" s="17">
        <v>11</v>
      </c>
      <c r="D658" s="20"/>
      <c r="E658" s="18">
        <v>45243</v>
      </c>
      <c r="F658" s="18" t="s">
        <v>364</v>
      </c>
      <c r="G658" s="20" t="s">
        <v>31</v>
      </c>
      <c r="H658" s="19">
        <v>1</v>
      </c>
      <c r="I658" s="20" t="s">
        <v>207</v>
      </c>
      <c r="J658" s="34">
        <v>45230</v>
      </c>
      <c r="K658" s="19">
        <v>0.85</v>
      </c>
      <c r="L658" s="20">
        <f t="shared" si="59"/>
        <v>661</v>
      </c>
      <c r="M658" s="4">
        <f>IF(Table3[[#This Row],[Afrondingsdatum YB]]="N/A","-",Table3[[#This Row],[Afrondingsdatum YB]]-Table3[[#This Row],[StartDatum]])</f>
        <v>45230</v>
      </c>
      <c r="N658" s="4"/>
      <c r="O658">
        <f t="shared" si="55"/>
        <v>106</v>
      </c>
      <c r="P658">
        <f t="shared" si="58"/>
        <v>97</v>
      </c>
      <c r="Q658">
        <f t="shared" si="58"/>
        <v>109</v>
      </c>
      <c r="R658">
        <f t="shared" si="58"/>
        <v>97</v>
      </c>
      <c r="S658">
        <f t="shared" si="58"/>
        <v>108</v>
      </c>
      <c r="T658">
        <f t="shared" si="58"/>
        <v>46</v>
      </c>
      <c r="U658">
        <f t="shared" si="58"/>
        <v>98</v>
      </c>
      <c r="V658">
        <f t="shared" si="58"/>
        <v>97</v>
      </c>
      <c r="W658" s="5">
        <f t="shared" si="56"/>
        <v>855</v>
      </c>
      <c r="X658" s="9" t="str">
        <f t="shared" si="57"/>
        <v>a855</v>
      </c>
    </row>
    <row r="659" spans="1:24" x14ac:dyDescent="0.2">
      <c r="A659" s="9" t="s">
        <v>425</v>
      </c>
      <c r="B659" s="9">
        <v>1</v>
      </c>
      <c r="C659" s="17">
        <v>11</v>
      </c>
      <c r="D659" s="20"/>
      <c r="E659" s="23">
        <v>45243</v>
      </c>
      <c r="F659" s="23" t="s">
        <v>364</v>
      </c>
      <c r="G659" s="25" t="s">
        <v>75</v>
      </c>
      <c r="H659" s="24">
        <v>0</v>
      </c>
      <c r="I659" s="25" t="s">
        <v>8</v>
      </c>
      <c r="J659" s="25" t="s">
        <v>7</v>
      </c>
      <c r="K659" s="25" t="s">
        <v>9</v>
      </c>
      <c r="L659" s="25">
        <f t="shared" si="59"/>
        <v>698</v>
      </c>
      <c r="M659" s="4" t="str">
        <f>IF(Table3[[#This Row],[Afrondingsdatum YB]]="N/A","-",Table3[[#This Row],[Afrondingsdatum YB]]-Table3[[#This Row],[StartDatum]])</f>
        <v>-</v>
      </c>
      <c r="N659" s="4"/>
      <c r="O659">
        <f t="shared" si="55"/>
        <v>74</v>
      </c>
      <c r="P659">
        <f t="shared" si="58"/>
        <v>97</v>
      </c>
      <c r="Q659">
        <f t="shared" si="58"/>
        <v>109</v>
      </c>
      <c r="R659">
        <f t="shared" si="58"/>
        <v>105</v>
      </c>
      <c r="S659">
        <f t="shared" si="58"/>
        <v>108</v>
      </c>
      <c r="T659">
        <f t="shared" si="58"/>
        <v>108</v>
      </c>
      <c r="U659">
        <f t="shared" si="58"/>
        <v>97</v>
      </c>
      <c r="V659">
        <f t="shared" si="58"/>
        <v>98</v>
      </c>
      <c r="W659" s="5">
        <f t="shared" si="56"/>
        <v>887</v>
      </c>
      <c r="X659" s="9" t="str">
        <f t="shared" si="57"/>
        <v>a887</v>
      </c>
    </row>
    <row r="660" spans="1:24" x14ac:dyDescent="0.2">
      <c r="A660" s="9" t="s">
        <v>425</v>
      </c>
      <c r="B660" s="9">
        <v>1</v>
      </c>
      <c r="C660" s="17">
        <v>11</v>
      </c>
      <c r="D660" s="20"/>
      <c r="E660" s="18">
        <v>45243</v>
      </c>
      <c r="F660" s="18" t="s">
        <v>363</v>
      </c>
      <c r="G660" s="20" t="s">
        <v>32</v>
      </c>
      <c r="H660" s="19">
        <v>1</v>
      </c>
      <c r="I660" s="20" t="s">
        <v>181</v>
      </c>
      <c r="J660" s="34">
        <v>45209</v>
      </c>
      <c r="K660" s="19">
        <v>0.78</v>
      </c>
      <c r="L660" s="20">
        <f t="shared" si="59"/>
        <v>698</v>
      </c>
      <c r="M660" s="4">
        <f>IF(Table3[[#This Row],[Afrondingsdatum YB]]="N/A","-",Table3[[#This Row],[Afrondingsdatum YB]]-Table3[[#This Row],[StartDatum]])</f>
        <v>45209</v>
      </c>
      <c r="N660" s="4"/>
      <c r="O660">
        <f t="shared" si="55"/>
        <v>106</v>
      </c>
      <c r="P660">
        <f t="shared" si="58"/>
        <v>97</v>
      </c>
      <c r="Q660">
        <f t="shared" si="58"/>
        <v>114</v>
      </c>
      <c r="R660">
        <f t="shared" si="58"/>
        <v>114</v>
      </c>
      <c r="S660">
        <f t="shared" si="58"/>
        <v>111</v>
      </c>
      <c r="T660">
        <f t="shared" si="58"/>
        <v>110</v>
      </c>
      <c r="U660">
        <f t="shared" si="58"/>
        <v>46</v>
      </c>
      <c r="V660">
        <f t="shared" si="58"/>
        <v>118</v>
      </c>
      <c r="W660" s="5">
        <f t="shared" si="56"/>
        <v>910</v>
      </c>
      <c r="X660" s="9" t="str">
        <f t="shared" si="57"/>
        <v>a910</v>
      </c>
    </row>
    <row r="661" spans="1:24" x14ac:dyDescent="0.2">
      <c r="A661" s="9" t="s">
        <v>425</v>
      </c>
      <c r="B661" s="9">
        <v>1</v>
      </c>
      <c r="C661" s="17">
        <v>11</v>
      </c>
      <c r="D661" s="20"/>
      <c r="E661" s="23">
        <v>45243</v>
      </c>
      <c r="F661" s="23" t="s">
        <v>362</v>
      </c>
      <c r="G661" s="25" t="s">
        <v>33</v>
      </c>
      <c r="H661" s="24">
        <v>0.28000000000000003</v>
      </c>
      <c r="I661" s="25" t="s">
        <v>204</v>
      </c>
      <c r="J661" s="25" t="s">
        <v>7</v>
      </c>
      <c r="K661" s="25" t="s">
        <v>9</v>
      </c>
      <c r="L661" s="25">
        <f t="shared" si="59"/>
        <v>707</v>
      </c>
      <c r="M661" s="4" t="str">
        <f>IF(Table3[[#This Row],[Afrondingsdatum YB]]="N/A","-",Table3[[#This Row],[Afrondingsdatum YB]]-Table3[[#This Row],[StartDatum]])</f>
        <v>-</v>
      </c>
      <c r="N661" s="4"/>
      <c r="O661">
        <f t="shared" si="55"/>
        <v>106</v>
      </c>
      <c r="P661">
        <f t="shared" si="58"/>
        <v>101</v>
      </c>
      <c r="Q661">
        <f t="shared" si="58"/>
        <v>118</v>
      </c>
      <c r="R661">
        <f t="shared" si="58"/>
        <v>111</v>
      </c>
      <c r="S661">
        <f t="shared" si="58"/>
        <v>110</v>
      </c>
      <c r="T661">
        <f t="shared" si="58"/>
        <v>46</v>
      </c>
      <c r="U661">
        <f t="shared" si="58"/>
        <v>115</v>
      </c>
      <c r="V661">
        <f t="shared" si="58"/>
        <v>109</v>
      </c>
      <c r="W661" s="5">
        <f t="shared" si="56"/>
        <v>918</v>
      </c>
      <c r="X661" s="9" t="str">
        <f t="shared" si="57"/>
        <v>e918</v>
      </c>
    </row>
    <row r="662" spans="1:24" x14ac:dyDescent="0.2">
      <c r="A662" s="9" t="s">
        <v>425</v>
      </c>
      <c r="B662" s="9">
        <v>1</v>
      </c>
      <c r="C662" s="17">
        <v>11</v>
      </c>
      <c r="D662" s="20"/>
      <c r="E662" s="18">
        <v>45243</v>
      </c>
      <c r="F662" s="18" t="s">
        <v>362</v>
      </c>
      <c r="G662" s="20" t="s">
        <v>125</v>
      </c>
      <c r="H662" s="19">
        <v>1</v>
      </c>
      <c r="I662" s="20" t="s">
        <v>259</v>
      </c>
      <c r="J662" s="34">
        <v>45238</v>
      </c>
      <c r="K662" s="19">
        <v>0.93</v>
      </c>
      <c r="L662" s="20">
        <f t="shared" si="59"/>
        <v>689</v>
      </c>
      <c r="M662" s="4">
        <f>IF(Table3[[#This Row],[Afrondingsdatum YB]]="N/A","-",Table3[[#This Row],[Afrondingsdatum YB]]-Table3[[#This Row],[StartDatum]])</f>
        <v>45238</v>
      </c>
      <c r="N662" s="4"/>
      <c r="O662">
        <f t="shared" si="55"/>
        <v>106</v>
      </c>
      <c r="P662">
        <f t="shared" si="58"/>
        <v>111</v>
      </c>
      <c r="Q662">
        <f t="shared" si="58"/>
        <v>98</v>
      </c>
      <c r="R662">
        <f t="shared" si="58"/>
        <v>46</v>
      </c>
      <c r="S662">
        <f t="shared" si="58"/>
        <v>107</v>
      </c>
      <c r="T662">
        <f t="shared" si="58"/>
        <v>110</v>
      </c>
      <c r="U662">
        <f t="shared" si="58"/>
        <v>111</v>
      </c>
      <c r="V662">
        <f t="shared" si="58"/>
        <v>111</v>
      </c>
      <c r="W662" s="5">
        <f t="shared" si="56"/>
        <v>906</v>
      </c>
      <c r="X662" s="9" t="str">
        <f t="shared" si="57"/>
        <v>o906</v>
      </c>
    </row>
    <row r="663" spans="1:24" x14ac:dyDescent="0.2">
      <c r="A663" s="9" t="s">
        <v>425</v>
      </c>
      <c r="B663" s="9">
        <v>1</v>
      </c>
      <c r="C663" s="17">
        <v>11</v>
      </c>
      <c r="D663" s="20"/>
      <c r="E663" s="23">
        <v>45243</v>
      </c>
      <c r="F663" s="23" t="s">
        <v>362</v>
      </c>
      <c r="G663" s="25" t="s">
        <v>34</v>
      </c>
      <c r="H663" s="24">
        <v>1</v>
      </c>
      <c r="I663" s="25" t="s">
        <v>148</v>
      </c>
      <c r="J663" s="32">
        <v>45238</v>
      </c>
      <c r="K663" s="24">
        <v>0.85</v>
      </c>
      <c r="L663" s="25">
        <f t="shared" si="59"/>
        <v>676</v>
      </c>
      <c r="M663" s="4">
        <f>IF(Table3[[#This Row],[Afrondingsdatum YB]]="N/A","-",Table3[[#This Row],[Afrondingsdatum YB]]-Table3[[#This Row],[StartDatum]])</f>
        <v>45238</v>
      </c>
      <c r="N663" s="4"/>
      <c r="O663">
        <f t="shared" si="55"/>
        <v>106</v>
      </c>
      <c r="P663">
        <f t="shared" si="58"/>
        <v>111</v>
      </c>
      <c r="Q663">
        <f t="shared" si="58"/>
        <v>99</v>
      </c>
      <c r="R663">
        <f t="shared" si="58"/>
        <v>104</v>
      </c>
      <c r="S663">
        <f t="shared" si="58"/>
        <v>101</v>
      </c>
      <c r="T663">
        <f t="shared" si="58"/>
        <v>109</v>
      </c>
      <c r="U663">
        <f t="shared" si="58"/>
        <v>46</v>
      </c>
      <c r="V663">
        <f t="shared" si="58"/>
        <v>104</v>
      </c>
      <c r="W663" s="5">
        <f t="shared" si="56"/>
        <v>845</v>
      </c>
      <c r="X663" s="9" t="str">
        <f t="shared" si="57"/>
        <v>o845</v>
      </c>
    </row>
    <row r="664" spans="1:24" x14ac:dyDescent="0.2">
      <c r="A664" s="9" t="s">
        <v>425</v>
      </c>
      <c r="B664" s="9">
        <v>1</v>
      </c>
      <c r="C664" s="17">
        <v>11</v>
      </c>
      <c r="D664" s="20"/>
      <c r="E664" s="18">
        <v>45243</v>
      </c>
      <c r="F664" s="18" t="s">
        <v>362</v>
      </c>
      <c r="G664" s="20" t="s">
        <v>35</v>
      </c>
      <c r="H664" s="19">
        <v>1</v>
      </c>
      <c r="I664" s="20" t="s">
        <v>260</v>
      </c>
      <c r="J664" s="34">
        <v>45238</v>
      </c>
      <c r="K664" s="19">
        <v>0.9</v>
      </c>
      <c r="L664" s="20">
        <f t="shared" si="59"/>
        <v>704</v>
      </c>
      <c r="M664" s="4">
        <f>IF(Table3[[#This Row],[Afrondingsdatum YB]]="N/A","-",Table3[[#This Row],[Afrondingsdatum YB]]-Table3[[#This Row],[StartDatum]])</f>
        <v>45238</v>
      </c>
      <c r="N664" s="4"/>
      <c r="O664">
        <f t="shared" si="55"/>
        <v>106</v>
      </c>
      <c r="P664">
        <f t="shared" si="58"/>
        <v>111</v>
      </c>
      <c r="Q664">
        <f t="shared" si="58"/>
        <v>114</v>
      </c>
      <c r="R664">
        <f t="shared" si="58"/>
        <v>105</v>
      </c>
      <c r="S664">
        <f t="shared" si="58"/>
        <v>115</v>
      </c>
      <c r="T664">
        <f t="shared" si="58"/>
        <v>46</v>
      </c>
      <c r="U664">
        <f t="shared" si="58"/>
        <v>107</v>
      </c>
      <c r="V664">
        <f t="shared" si="58"/>
        <v>111</v>
      </c>
      <c r="W664" s="5">
        <f t="shared" si="56"/>
        <v>909</v>
      </c>
      <c r="X664" s="9" t="str">
        <f t="shared" si="57"/>
        <v>o909</v>
      </c>
    </row>
    <row r="665" spans="1:24" x14ac:dyDescent="0.2">
      <c r="A665" s="9" t="s">
        <v>425</v>
      </c>
      <c r="B665" s="9">
        <v>1</v>
      </c>
      <c r="C665" s="17">
        <v>11</v>
      </c>
      <c r="D665" s="20"/>
      <c r="E665" s="23">
        <v>45243</v>
      </c>
      <c r="F665" s="23" t="s">
        <v>364</v>
      </c>
      <c r="G665" s="25" t="s">
        <v>36</v>
      </c>
      <c r="H665" s="24">
        <v>1</v>
      </c>
      <c r="I665" s="25" t="s">
        <v>179</v>
      </c>
      <c r="J665" s="32">
        <v>45236</v>
      </c>
      <c r="K665" s="24">
        <v>0.8</v>
      </c>
      <c r="L665" s="25">
        <f t="shared" si="59"/>
        <v>657</v>
      </c>
      <c r="M665" s="4">
        <f>IF(Table3[[#This Row],[Afrondingsdatum YB]]="N/A","-",Table3[[#This Row],[Afrondingsdatum YB]]-Table3[[#This Row],[StartDatum]])</f>
        <v>45236</v>
      </c>
      <c r="N665" s="4"/>
      <c r="O665">
        <f t="shared" si="55"/>
        <v>74</v>
      </c>
      <c r="P665">
        <f t="shared" si="55"/>
        <v>117</v>
      </c>
      <c r="Q665">
        <f t="shared" si="55"/>
        <v>108</v>
      </c>
      <c r="R665">
        <f t="shared" si="55"/>
        <v>105</v>
      </c>
      <c r="S665">
        <f t="shared" si="55"/>
        <v>97</v>
      </c>
      <c r="T665">
        <f t="shared" si="55"/>
        <v>110</v>
      </c>
      <c r="U665">
        <f t="shared" si="55"/>
        <v>46</v>
      </c>
      <c r="V665">
        <f t="shared" si="55"/>
        <v>68</v>
      </c>
      <c r="W665" s="5">
        <f t="shared" si="56"/>
        <v>804</v>
      </c>
      <c r="X665" s="9" t="str">
        <f t="shared" si="57"/>
        <v>u804</v>
      </c>
    </row>
    <row r="666" spans="1:24" x14ac:dyDescent="0.2">
      <c r="A666" s="9" t="s">
        <v>425</v>
      </c>
      <c r="B666" s="9">
        <v>1</v>
      </c>
      <c r="C666" s="17">
        <v>11</v>
      </c>
      <c r="D666" s="20"/>
      <c r="E666" s="18">
        <v>45243</v>
      </c>
      <c r="F666" s="18" t="s">
        <v>363</v>
      </c>
      <c r="G666" s="20" t="s">
        <v>37</v>
      </c>
      <c r="H666" s="19">
        <v>1</v>
      </c>
      <c r="I666" s="20" t="s">
        <v>207</v>
      </c>
      <c r="J666" s="34">
        <v>45228</v>
      </c>
      <c r="K666" s="19">
        <v>0.8</v>
      </c>
      <c r="L666" s="20">
        <f t="shared" si="59"/>
        <v>689</v>
      </c>
      <c r="M666" s="4">
        <f>IF(Table3[[#This Row],[Afrondingsdatum YB]]="N/A","-",Table3[[#This Row],[Afrondingsdatum YB]]-Table3[[#This Row],[StartDatum]])</f>
        <v>45228</v>
      </c>
      <c r="N666" s="4"/>
      <c r="O666">
        <f t="shared" si="55"/>
        <v>106</v>
      </c>
      <c r="P666">
        <f t="shared" si="55"/>
        <v>117</v>
      </c>
      <c r="Q666">
        <f t="shared" si="55"/>
        <v>108</v>
      </c>
      <c r="R666">
        <f t="shared" si="55"/>
        <v>105</v>
      </c>
      <c r="S666">
        <f t="shared" si="55"/>
        <v>97</v>
      </c>
      <c r="T666">
        <f t="shared" si="55"/>
        <v>110</v>
      </c>
      <c r="U666">
        <f t="shared" si="55"/>
        <v>46</v>
      </c>
      <c r="V666">
        <f t="shared" si="55"/>
        <v>118</v>
      </c>
      <c r="W666" s="5">
        <f t="shared" si="56"/>
        <v>886</v>
      </c>
      <c r="X666" s="9" t="str">
        <f t="shared" si="57"/>
        <v>u886</v>
      </c>
    </row>
    <row r="667" spans="1:24" x14ac:dyDescent="0.2">
      <c r="A667" s="9" t="s">
        <v>425</v>
      </c>
      <c r="B667" s="9">
        <v>1</v>
      </c>
      <c r="C667" s="17">
        <v>11</v>
      </c>
      <c r="D667" s="20"/>
      <c r="E667" s="23">
        <v>45243</v>
      </c>
      <c r="F667" s="23" t="s">
        <v>363</v>
      </c>
      <c r="G667" s="25" t="s">
        <v>38</v>
      </c>
      <c r="H667" s="24">
        <v>1</v>
      </c>
      <c r="I667" s="25" t="s">
        <v>208</v>
      </c>
      <c r="J667" s="32">
        <v>45223</v>
      </c>
      <c r="K667" s="24">
        <v>0.8</v>
      </c>
      <c r="L667" s="25">
        <f t="shared" si="59"/>
        <v>671</v>
      </c>
      <c r="M667" s="4">
        <f>IF(Table3[[#This Row],[Afrondingsdatum YB]]="N/A","-",Table3[[#This Row],[Afrondingsdatum YB]]-Table3[[#This Row],[StartDatum]])</f>
        <v>45223</v>
      </c>
      <c r="N667" s="4"/>
      <c r="O667">
        <f t="shared" si="55"/>
        <v>107</v>
      </c>
      <c r="P667">
        <f t="shared" si="55"/>
        <v>97</v>
      </c>
      <c r="Q667">
        <f t="shared" si="55"/>
        <v>105</v>
      </c>
      <c r="R667">
        <f t="shared" si="55"/>
        <v>46</v>
      </c>
      <c r="S667">
        <f t="shared" si="55"/>
        <v>104</v>
      </c>
      <c r="T667">
        <f t="shared" si="55"/>
        <v>97</v>
      </c>
      <c r="U667">
        <f t="shared" si="55"/>
        <v>115</v>
      </c>
      <c r="V667">
        <f t="shared" si="55"/>
        <v>115</v>
      </c>
      <c r="W667" s="5">
        <f t="shared" si="56"/>
        <v>913</v>
      </c>
      <c r="X667" s="9" t="str">
        <f t="shared" si="57"/>
        <v>a913</v>
      </c>
    </row>
    <row r="668" spans="1:24" x14ac:dyDescent="0.2">
      <c r="A668" s="9" t="s">
        <v>425</v>
      </c>
      <c r="B668" s="9">
        <v>1</v>
      </c>
      <c r="C668" s="17">
        <v>11</v>
      </c>
      <c r="D668" s="20"/>
      <c r="E668" s="18">
        <v>45243</v>
      </c>
      <c r="F668" s="18" t="s">
        <v>362</v>
      </c>
      <c r="G668" s="20" t="s">
        <v>261</v>
      </c>
      <c r="H668" s="19">
        <v>1</v>
      </c>
      <c r="I668" s="20" t="s">
        <v>105</v>
      </c>
      <c r="J668" s="34">
        <v>45239</v>
      </c>
      <c r="K668" s="19">
        <v>0.73</v>
      </c>
      <c r="L668" s="20">
        <f t="shared" si="59"/>
        <v>679</v>
      </c>
      <c r="M668" s="4">
        <f>IF(Table3[[#This Row],[Afrondingsdatum YB]]="N/A","-",Table3[[#This Row],[Afrondingsdatum YB]]-Table3[[#This Row],[StartDatum]])</f>
        <v>45239</v>
      </c>
      <c r="N668" s="4"/>
      <c r="O668">
        <f t="shared" si="55"/>
        <v>107</v>
      </c>
      <c r="P668">
        <f t="shared" si="55"/>
        <v>101</v>
      </c>
      <c r="Q668">
        <f t="shared" si="55"/>
        <v>101</v>
      </c>
      <c r="R668">
        <f t="shared" si="55"/>
        <v>115</v>
      </c>
      <c r="S668">
        <f t="shared" si="55"/>
        <v>46</v>
      </c>
      <c r="T668">
        <f t="shared" si="55"/>
        <v>98</v>
      </c>
      <c r="U668">
        <f t="shared" si="55"/>
        <v>111</v>
      </c>
      <c r="V668">
        <f t="shared" si="55"/>
        <v>110</v>
      </c>
      <c r="W668" s="5">
        <f t="shared" si="56"/>
        <v>854</v>
      </c>
      <c r="X668" s="9" t="str">
        <f t="shared" si="57"/>
        <v>e854</v>
      </c>
    </row>
    <row r="669" spans="1:24" x14ac:dyDescent="0.2">
      <c r="A669" s="9" t="s">
        <v>425</v>
      </c>
      <c r="B669" s="9">
        <v>1</v>
      </c>
      <c r="C669" s="17">
        <v>11</v>
      </c>
      <c r="D669" s="20"/>
      <c r="E669" s="23">
        <v>45243</v>
      </c>
      <c r="F669" s="23" t="s">
        <v>362</v>
      </c>
      <c r="G669" s="25" t="s">
        <v>39</v>
      </c>
      <c r="H669" s="24">
        <v>1</v>
      </c>
      <c r="I669" s="25" t="s">
        <v>226</v>
      </c>
      <c r="J669" s="32">
        <v>45226</v>
      </c>
      <c r="K669" s="24">
        <v>0.75</v>
      </c>
      <c r="L669" s="25">
        <f t="shared" si="59"/>
        <v>673</v>
      </c>
      <c r="M669" s="4">
        <f>IF(Table3[[#This Row],[Afrondingsdatum YB]]="N/A","-",Table3[[#This Row],[Afrondingsdatum YB]]-Table3[[#This Row],[StartDatum]])</f>
        <v>45226</v>
      </c>
      <c r="N669" s="4"/>
      <c r="O669">
        <f t="shared" si="55"/>
        <v>107</v>
      </c>
      <c r="P669">
        <f t="shared" si="55"/>
        <v>101</v>
      </c>
      <c r="Q669">
        <f t="shared" si="55"/>
        <v>110</v>
      </c>
      <c r="R669">
        <f t="shared" si="55"/>
        <v>97</v>
      </c>
      <c r="S669">
        <f t="shared" si="55"/>
        <v>110</v>
      </c>
      <c r="T669">
        <f t="shared" si="55"/>
        <v>46</v>
      </c>
      <c r="U669">
        <f t="shared" si="55"/>
        <v>102</v>
      </c>
      <c r="V669">
        <f t="shared" si="55"/>
        <v>108</v>
      </c>
      <c r="W669" s="5">
        <f t="shared" si="56"/>
        <v>878</v>
      </c>
      <c r="X669" s="9" t="str">
        <f t="shared" si="57"/>
        <v>e878</v>
      </c>
    </row>
    <row r="670" spans="1:24" x14ac:dyDescent="0.2">
      <c r="A670" s="9" t="s">
        <v>425</v>
      </c>
      <c r="B670" s="9">
        <v>1</v>
      </c>
      <c r="C670" s="17">
        <v>11</v>
      </c>
      <c r="D670" s="20"/>
      <c r="E670" s="18">
        <v>45243</v>
      </c>
      <c r="F670" s="18" t="s">
        <v>363</v>
      </c>
      <c r="G670" s="20" t="s">
        <v>40</v>
      </c>
      <c r="H670" s="19">
        <v>1</v>
      </c>
      <c r="I670" s="20" t="s">
        <v>227</v>
      </c>
      <c r="J670" s="34">
        <v>45225</v>
      </c>
      <c r="K670" s="19">
        <v>0.85</v>
      </c>
      <c r="L670" s="20">
        <f t="shared" si="59"/>
        <v>685</v>
      </c>
      <c r="M670" s="4">
        <f>IF(Table3[[#This Row],[Afrondingsdatum YB]]="N/A","-",Table3[[#This Row],[Afrondingsdatum YB]]-Table3[[#This Row],[StartDatum]])</f>
        <v>45225</v>
      </c>
      <c r="N670" s="4"/>
      <c r="O670">
        <f t="shared" si="55"/>
        <v>107</v>
      </c>
      <c r="P670">
        <f t="shared" si="55"/>
        <v>101</v>
      </c>
      <c r="Q670">
        <f t="shared" si="55"/>
        <v>118</v>
      </c>
      <c r="R670">
        <f t="shared" si="55"/>
        <v>105</v>
      </c>
      <c r="S670">
        <f t="shared" si="55"/>
        <v>110</v>
      </c>
      <c r="T670">
        <f t="shared" si="55"/>
        <v>46</v>
      </c>
      <c r="U670">
        <f t="shared" si="55"/>
        <v>98</v>
      </c>
      <c r="V670">
        <f t="shared" si="55"/>
        <v>97</v>
      </c>
      <c r="W670" s="5">
        <f t="shared" si="56"/>
        <v>889</v>
      </c>
      <c r="X670" s="9" t="str">
        <f t="shared" si="57"/>
        <v>e889</v>
      </c>
    </row>
    <row r="671" spans="1:24" x14ac:dyDescent="0.2">
      <c r="A671" s="9" t="s">
        <v>425</v>
      </c>
      <c r="B671" s="9">
        <v>1</v>
      </c>
      <c r="C671" s="17">
        <v>11</v>
      </c>
      <c r="D671" s="20"/>
      <c r="E671" s="23">
        <v>45243</v>
      </c>
      <c r="F671" s="23" t="s">
        <v>363</v>
      </c>
      <c r="G671" s="25" t="s">
        <v>41</v>
      </c>
      <c r="H671" s="24">
        <v>1</v>
      </c>
      <c r="I671" s="25" t="s">
        <v>121</v>
      </c>
      <c r="J671" s="32">
        <v>45218</v>
      </c>
      <c r="K671" s="24">
        <v>0.83</v>
      </c>
      <c r="L671" s="25">
        <f t="shared" si="59"/>
        <v>694</v>
      </c>
      <c r="M671" s="4">
        <f>IF(Table3[[#This Row],[Afrondingsdatum YB]]="N/A","-",Table3[[#This Row],[Afrondingsdatum YB]]-Table3[[#This Row],[StartDatum]])</f>
        <v>45218</v>
      </c>
      <c r="N671" s="4"/>
      <c r="O671">
        <f t="shared" si="55"/>
        <v>107</v>
      </c>
      <c r="P671">
        <f t="shared" si="55"/>
        <v>106</v>
      </c>
      <c r="Q671">
        <f t="shared" si="55"/>
        <v>101</v>
      </c>
      <c r="R671">
        <f t="shared" si="55"/>
        <v>108</v>
      </c>
      <c r="S671">
        <f t="shared" si="55"/>
        <v>108</v>
      </c>
      <c r="T671">
        <f t="shared" si="55"/>
        <v>46</v>
      </c>
      <c r="U671">
        <f t="shared" si="55"/>
        <v>118</v>
      </c>
      <c r="V671">
        <f t="shared" si="55"/>
        <v>97</v>
      </c>
      <c r="W671" s="5">
        <f t="shared" si="56"/>
        <v>859</v>
      </c>
      <c r="X671" s="9" t="str">
        <f t="shared" si="57"/>
        <v>j859</v>
      </c>
    </row>
    <row r="672" spans="1:24" x14ac:dyDescent="0.2">
      <c r="A672" s="9" t="s">
        <v>425</v>
      </c>
      <c r="B672" s="9">
        <v>1</v>
      </c>
      <c r="C672" s="17">
        <v>11</v>
      </c>
      <c r="D672" s="20"/>
      <c r="E672" s="18">
        <v>45243</v>
      </c>
      <c r="F672" s="18" t="s">
        <v>362</v>
      </c>
      <c r="G672" s="20" t="s">
        <v>79</v>
      </c>
      <c r="H672" s="19">
        <v>1</v>
      </c>
      <c r="I672" s="20" t="s">
        <v>72</v>
      </c>
      <c r="J672" s="34">
        <v>45214</v>
      </c>
      <c r="K672" s="19">
        <v>0.7</v>
      </c>
      <c r="L672" s="20">
        <f t="shared" si="59"/>
        <v>679</v>
      </c>
      <c r="M672" s="4">
        <f>IF(Table3[[#This Row],[Afrondingsdatum YB]]="N/A","-",Table3[[#This Row],[Afrondingsdatum YB]]-Table3[[#This Row],[StartDatum]])</f>
        <v>45214</v>
      </c>
      <c r="N672" s="4"/>
      <c r="O672">
        <f t="shared" si="55"/>
        <v>108</v>
      </c>
      <c r="P672">
        <f t="shared" si="55"/>
        <v>97</v>
      </c>
      <c r="Q672">
        <f t="shared" si="55"/>
        <v>109</v>
      </c>
      <c r="R672">
        <f t="shared" si="55"/>
        <v>121</v>
      </c>
      <c r="S672">
        <f t="shared" si="55"/>
        <v>97</v>
      </c>
      <c r="T672">
        <f t="shared" si="55"/>
        <v>101</v>
      </c>
      <c r="U672">
        <f t="shared" si="55"/>
        <v>46</v>
      </c>
      <c r="V672">
        <f t="shared" si="55"/>
        <v>101</v>
      </c>
      <c r="W672" s="5">
        <f t="shared" si="56"/>
        <v>859</v>
      </c>
      <c r="X672" s="9" t="str">
        <f t="shared" si="57"/>
        <v>a859</v>
      </c>
    </row>
    <row r="673" spans="1:24" x14ac:dyDescent="0.2">
      <c r="A673" s="9" t="s">
        <v>425</v>
      </c>
      <c r="B673" s="9">
        <v>1</v>
      </c>
      <c r="C673" s="17">
        <v>11</v>
      </c>
      <c r="D673" s="20"/>
      <c r="E673" s="23">
        <v>45243</v>
      </c>
      <c r="F673" s="23" t="s">
        <v>363</v>
      </c>
      <c r="G673" s="25" t="s">
        <v>42</v>
      </c>
      <c r="H673" s="24">
        <v>1</v>
      </c>
      <c r="I673" s="25" t="s">
        <v>121</v>
      </c>
      <c r="J673" s="32">
        <v>45227</v>
      </c>
      <c r="K673" s="24">
        <v>0.7</v>
      </c>
      <c r="L673" s="25">
        <f t="shared" si="59"/>
        <v>687</v>
      </c>
      <c r="M673" s="4">
        <f>IF(Table3[[#This Row],[Afrondingsdatum YB]]="N/A","-",Table3[[#This Row],[Afrondingsdatum YB]]-Table3[[#This Row],[StartDatum]])</f>
        <v>45227</v>
      </c>
      <c r="N673" s="4"/>
      <c r="O673">
        <f t="shared" si="55"/>
        <v>108</v>
      </c>
      <c r="P673">
        <f t="shared" si="55"/>
        <v>105</v>
      </c>
      <c r="Q673">
        <f t="shared" si="55"/>
        <v>110</v>
      </c>
      <c r="R673">
        <f t="shared" si="55"/>
        <v>100</v>
      </c>
      <c r="S673">
        <f t="shared" si="55"/>
        <v>121</v>
      </c>
      <c r="T673">
        <f t="shared" si="55"/>
        <v>46</v>
      </c>
      <c r="U673">
        <f t="shared" si="55"/>
        <v>97</v>
      </c>
      <c r="V673">
        <f t="shared" si="55"/>
        <v>110</v>
      </c>
      <c r="W673" s="5">
        <f t="shared" si="56"/>
        <v>890</v>
      </c>
      <c r="X673" s="9" t="str">
        <f t="shared" si="57"/>
        <v>i890</v>
      </c>
    </row>
    <row r="674" spans="1:24" x14ac:dyDescent="0.2">
      <c r="A674" s="9" t="s">
        <v>425</v>
      </c>
      <c r="B674" s="9">
        <v>1</v>
      </c>
      <c r="C674" s="17">
        <v>11</v>
      </c>
      <c r="D674" s="20"/>
      <c r="E674" s="18">
        <v>45243</v>
      </c>
      <c r="F674" s="18" t="s">
        <v>363</v>
      </c>
      <c r="G674" s="20" t="s">
        <v>43</v>
      </c>
      <c r="H674" s="19">
        <v>1</v>
      </c>
      <c r="I674" s="20" t="s">
        <v>262</v>
      </c>
      <c r="J674" s="20" t="s">
        <v>7</v>
      </c>
      <c r="K674" s="20" t="s">
        <v>9</v>
      </c>
      <c r="L674" s="20">
        <f t="shared" si="59"/>
        <v>689</v>
      </c>
      <c r="M674" s="4" t="str">
        <f>IF(Table3[[#This Row],[Afrondingsdatum YB]]="N/A","-",Table3[[#This Row],[Afrondingsdatum YB]]-Table3[[#This Row],[StartDatum]])</f>
        <v>-</v>
      </c>
      <c r="N674" s="4"/>
      <c r="O674">
        <f t="shared" si="55"/>
        <v>108</v>
      </c>
      <c r="P674">
        <f t="shared" si="55"/>
        <v>117</v>
      </c>
      <c r="Q674">
        <f t="shared" si="55"/>
        <v>99</v>
      </c>
      <c r="R674">
        <f t="shared" si="55"/>
        <v>46</v>
      </c>
      <c r="S674">
        <f t="shared" si="55"/>
        <v>98</v>
      </c>
      <c r="T674">
        <f t="shared" si="55"/>
        <v>111</v>
      </c>
      <c r="U674">
        <f t="shared" si="55"/>
        <v>110</v>
      </c>
      <c r="V674">
        <f t="shared" si="55"/>
        <v>100</v>
      </c>
      <c r="W674" s="5">
        <f t="shared" si="56"/>
        <v>894</v>
      </c>
      <c r="X674" s="9" t="str">
        <f t="shared" si="57"/>
        <v>u894</v>
      </c>
    </row>
    <row r="675" spans="1:24" x14ac:dyDescent="0.2">
      <c r="A675" s="9" t="s">
        <v>425</v>
      </c>
      <c r="B675" s="9">
        <v>1</v>
      </c>
      <c r="C675" s="17">
        <v>11</v>
      </c>
      <c r="D675" s="20"/>
      <c r="E675" s="23">
        <v>45243</v>
      </c>
      <c r="F675" s="23" t="s">
        <v>364</v>
      </c>
      <c r="G675" s="25" t="s">
        <v>44</v>
      </c>
      <c r="H675" s="24">
        <v>1</v>
      </c>
      <c r="I675" s="25" t="s">
        <v>102</v>
      </c>
      <c r="J675" s="32">
        <v>45217</v>
      </c>
      <c r="K675" s="24">
        <v>0.73</v>
      </c>
      <c r="L675" s="25">
        <f t="shared" si="59"/>
        <v>680</v>
      </c>
      <c r="M675" s="4">
        <f>IF(Table3[[#This Row],[Afrondingsdatum YB]]="N/A","-",Table3[[#This Row],[Afrondingsdatum YB]]-Table3[[#This Row],[StartDatum]])</f>
        <v>45217</v>
      </c>
      <c r="N675" s="4"/>
      <c r="O675">
        <f t="shared" ref="O675:V706" si="60">CODE(MID($G675,O$1,1))</f>
        <v>108</v>
      </c>
      <c r="P675">
        <f t="shared" si="60"/>
        <v>117</v>
      </c>
      <c r="Q675">
        <f t="shared" si="60"/>
        <v>99</v>
      </c>
      <c r="R675">
        <f t="shared" si="60"/>
        <v>97</v>
      </c>
      <c r="S675">
        <f t="shared" si="60"/>
        <v>115</v>
      </c>
      <c r="T675">
        <f t="shared" si="60"/>
        <v>46</v>
      </c>
      <c r="U675">
        <f t="shared" si="60"/>
        <v>98</v>
      </c>
      <c r="V675">
        <f t="shared" si="60"/>
        <v>114</v>
      </c>
      <c r="W675" s="5">
        <f t="shared" si="56"/>
        <v>861</v>
      </c>
      <c r="X675" s="9" t="str">
        <f t="shared" si="57"/>
        <v>u861</v>
      </c>
    </row>
    <row r="676" spans="1:24" x14ac:dyDescent="0.2">
      <c r="A676" s="9" t="s">
        <v>425</v>
      </c>
      <c r="B676" s="9">
        <v>1</v>
      </c>
      <c r="C676" s="17">
        <v>11</v>
      </c>
      <c r="D676" s="20"/>
      <c r="E676" s="18">
        <v>45243</v>
      </c>
      <c r="F676" s="18" t="s">
        <v>363</v>
      </c>
      <c r="G676" s="20" t="s">
        <v>81</v>
      </c>
      <c r="H676" s="19">
        <v>1</v>
      </c>
      <c r="I676" s="20" t="s">
        <v>229</v>
      </c>
      <c r="J676" s="34">
        <v>45228</v>
      </c>
      <c r="K676" s="19">
        <v>0.7</v>
      </c>
      <c r="L676" s="20">
        <f t="shared" si="59"/>
        <v>668</v>
      </c>
      <c r="M676" s="4">
        <f>IF(Table3[[#This Row],[Afrondingsdatum YB]]="N/A","-",Table3[[#This Row],[Afrondingsdatum YB]]-Table3[[#This Row],[StartDatum]])</f>
        <v>45228</v>
      </c>
      <c r="N676" s="4"/>
      <c r="O676">
        <f t="shared" si="60"/>
        <v>76</v>
      </c>
      <c r="P676">
        <f t="shared" si="60"/>
        <v>117</v>
      </c>
      <c r="Q676">
        <f t="shared" si="60"/>
        <v>99</v>
      </c>
      <c r="R676">
        <f t="shared" si="60"/>
        <v>97</v>
      </c>
      <c r="S676">
        <f t="shared" si="60"/>
        <v>115</v>
      </c>
      <c r="T676">
        <f t="shared" si="60"/>
        <v>46</v>
      </c>
      <c r="U676">
        <f t="shared" si="60"/>
        <v>118</v>
      </c>
      <c r="V676">
        <f t="shared" si="60"/>
        <v>97</v>
      </c>
      <c r="W676" s="5">
        <f t="shared" si="56"/>
        <v>832</v>
      </c>
      <c r="X676" s="9" t="str">
        <f t="shared" si="57"/>
        <v>u832</v>
      </c>
    </row>
    <row r="677" spans="1:24" x14ac:dyDescent="0.2">
      <c r="A677" s="9" t="s">
        <v>425</v>
      </c>
      <c r="B677" s="9">
        <v>1</v>
      </c>
      <c r="C677" s="17">
        <v>11</v>
      </c>
      <c r="D677" s="20"/>
      <c r="E677" s="23">
        <v>45243</v>
      </c>
      <c r="F677" s="23" t="s">
        <v>364</v>
      </c>
      <c r="G677" s="25" t="s">
        <v>45</v>
      </c>
      <c r="H677" s="24">
        <v>1</v>
      </c>
      <c r="I677" s="25" t="s">
        <v>146</v>
      </c>
      <c r="J677" s="32">
        <v>45238</v>
      </c>
      <c r="K677" s="24">
        <v>0.85</v>
      </c>
      <c r="L677" s="25">
        <f t="shared" si="59"/>
        <v>757</v>
      </c>
      <c r="M677" s="4">
        <f>IF(Table3[[#This Row],[Afrondingsdatum YB]]="N/A","-",Table3[[#This Row],[Afrondingsdatum YB]]-Table3[[#This Row],[StartDatum]])</f>
        <v>45238</v>
      </c>
      <c r="N677" s="4"/>
      <c r="O677">
        <f t="shared" si="60"/>
        <v>109</v>
      </c>
      <c r="P677">
        <f t="shared" si="60"/>
        <v>97</v>
      </c>
      <c r="Q677">
        <f t="shared" si="60"/>
        <v>114</v>
      </c>
      <c r="R677">
        <f t="shared" si="60"/>
        <v>116</v>
      </c>
      <c r="S677">
        <f t="shared" si="60"/>
        <v>105</v>
      </c>
      <c r="T677">
        <f t="shared" si="60"/>
        <v>106</v>
      </c>
      <c r="U677">
        <f t="shared" si="60"/>
        <v>110</v>
      </c>
      <c r="V677">
        <f t="shared" si="60"/>
        <v>46</v>
      </c>
      <c r="W677" s="5">
        <f t="shared" si="56"/>
        <v>896</v>
      </c>
      <c r="X677" s="9" t="str">
        <f t="shared" si="57"/>
        <v>a896</v>
      </c>
    </row>
    <row r="678" spans="1:24" x14ac:dyDescent="0.2">
      <c r="A678" s="9" t="s">
        <v>425</v>
      </c>
      <c r="B678" s="9">
        <v>1</v>
      </c>
      <c r="C678" s="17">
        <v>11</v>
      </c>
      <c r="D678" s="20"/>
      <c r="E678" s="18">
        <v>45243</v>
      </c>
      <c r="F678" s="18" t="s">
        <v>364</v>
      </c>
      <c r="G678" s="20" t="s">
        <v>46</v>
      </c>
      <c r="H678" s="19">
        <v>1</v>
      </c>
      <c r="I678" s="20" t="s">
        <v>210</v>
      </c>
      <c r="J678" s="34">
        <v>45217</v>
      </c>
      <c r="K678" s="19">
        <v>0.85</v>
      </c>
      <c r="L678" s="20">
        <f t="shared" si="59"/>
        <v>682</v>
      </c>
      <c r="M678" s="4">
        <f>IF(Table3[[#This Row],[Afrondingsdatum YB]]="N/A","-",Table3[[#This Row],[Afrondingsdatum YB]]-Table3[[#This Row],[StartDatum]])</f>
        <v>45217</v>
      </c>
      <c r="N678" s="4"/>
      <c r="O678">
        <f t="shared" si="60"/>
        <v>109</v>
      </c>
      <c r="P678">
        <f t="shared" si="60"/>
        <v>97</v>
      </c>
      <c r="Q678">
        <f t="shared" si="60"/>
        <v>114</v>
      </c>
      <c r="R678">
        <f t="shared" si="60"/>
        <v>119</v>
      </c>
      <c r="S678">
        <f t="shared" si="60"/>
        <v>97</v>
      </c>
      <c r="T678">
        <f t="shared" si="60"/>
        <v>46</v>
      </c>
      <c r="U678">
        <f t="shared" si="60"/>
        <v>100</v>
      </c>
      <c r="V678">
        <f t="shared" si="60"/>
        <v>97</v>
      </c>
      <c r="W678" s="5">
        <f t="shared" si="56"/>
        <v>869</v>
      </c>
      <c r="X678" s="9" t="str">
        <f t="shared" si="57"/>
        <v>a869</v>
      </c>
    </row>
    <row r="679" spans="1:24" x14ac:dyDescent="0.2">
      <c r="A679" s="9" t="s">
        <v>425</v>
      </c>
      <c r="B679" s="9">
        <v>1</v>
      </c>
      <c r="C679" s="17">
        <v>11</v>
      </c>
      <c r="D679" s="20"/>
      <c r="E679" s="23">
        <v>45243</v>
      </c>
      <c r="F679" s="23" t="s">
        <v>362</v>
      </c>
      <c r="G679" s="25" t="s">
        <v>245</v>
      </c>
      <c r="H679" s="24">
        <v>0.57999999999999996</v>
      </c>
      <c r="I679" s="25" t="s">
        <v>263</v>
      </c>
      <c r="J679" s="25" t="s">
        <v>7</v>
      </c>
      <c r="K679" s="25" t="s">
        <v>9</v>
      </c>
      <c r="L679" s="25">
        <f t="shared" si="59"/>
        <v>692</v>
      </c>
      <c r="M679" s="4" t="str">
        <f>IF(Table3[[#This Row],[Afrondingsdatum YB]]="N/A","-",Table3[[#This Row],[Afrondingsdatum YB]]-Table3[[#This Row],[StartDatum]])</f>
        <v>-</v>
      </c>
      <c r="N679" s="4"/>
      <c r="O679">
        <f t="shared" si="60"/>
        <v>109</v>
      </c>
      <c r="P679">
        <f t="shared" si="60"/>
        <v>97</v>
      </c>
      <c r="Q679">
        <f t="shared" si="60"/>
        <v>114</v>
      </c>
      <c r="R679">
        <f t="shared" si="60"/>
        <v>119</v>
      </c>
      <c r="S679">
        <f t="shared" si="60"/>
        <v>97</v>
      </c>
      <c r="T679">
        <f t="shared" si="60"/>
        <v>110</v>
      </c>
      <c r="U679">
        <f t="shared" si="60"/>
        <v>46</v>
      </c>
      <c r="V679">
        <f t="shared" si="60"/>
        <v>97</v>
      </c>
      <c r="W679" s="5">
        <f t="shared" si="56"/>
        <v>879</v>
      </c>
      <c r="X679" s="9" t="str">
        <f t="shared" si="57"/>
        <v>a879</v>
      </c>
    </row>
    <row r="680" spans="1:24" x14ac:dyDescent="0.2">
      <c r="A680" s="9" t="s">
        <v>425</v>
      </c>
      <c r="B680" s="9">
        <v>1</v>
      </c>
      <c r="C680" s="17">
        <v>11</v>
      </c>
      <c r="D680" s="20"/>
      <c r="E680" s="18">
        <v>45243</v>
      </c>
      <c r="F680" s="18" t="s">
        <v>364</v>
      </c>
      <c r="G680" s="20" t="s">
        <v>47</v>
      </c>
      <c r="H680" s="19">
        <v>0.59</v>
      </c>
      <c r="I680" s="20" t="s">
        <v>264</v>
      </c>
      <c r="J680" s="20" t="s">
        <v>7</v>
      </c>
      <c r="K680" s="20" t="s">
        <v>9</v>
      </c>
      <c r="L680" s="20">
        <f t="shared" si="59"/>
        <v>673</v>
      </c>
      <c r="M680" s="4" t="str">
        <f>IF(Table3[[#This Row],[Afrondingsdatum YB]]="N/A","-",Table3[[#This Row],[Afrondingsdatum YB]]-Table3[[#This Row],[StartDatum]])</f>
        <v>-</v>
      </c>
      <c r="N680" s="4"/>
      <c r="O680">
        <f t="shared" si="60"/>
        <v>109</v>
      </c>
      <c r="P680">
        <f t="shared" si="60"/>
        <v>101</v>
      </c>
      <c r="Q680">
        <f t="shared" si="60"/>
        <v>101</v>
      </c>
      <c r="R680">
        <f t="shared" si="60"/>
        <v>115</v>
      </c>
      <c r="S680">
        <f t="shared" si="60"/>
        <v>46</v>
      </c>
      <c r="T680">
        <f t="shared" si="60"/>
        <v>100</v>
      </c>
      <c r="U680">
        <f t="shared" si="60"/>
        <v>101</v>
      </c>
      <c r="V680">
        <f t="shared" si="60"/>
        <v>46</v>
      </c>
      <c r="W680" s="5">
        <f t="shared" si="56"/>
        <v>784</v>
      </c>
      <c r="X680" s="9" t="str">
        <f t="shared" si="57"/>
        <v>e784</v>
      </c>
    </row>
    <row r="681" spans="1:24" x14ac:dyDescent="0.2">
      <c r="A681" s="9" t="s">
        <v>425</v>
      </c>
      <c r="B681" s="9">
        <v>1</v>
      </c>
      <c r="C681" s="17">
        <v>11</v>
      </c>
      <c r="D681" s="20"/>
      <c r="E681" s="23">
        <v>45243</v>
      </c>
      <c r="F681" s="23" t="s">
        <v>363</v>
      </c>
      <c r="G681" s="25" t="s">
        <v>48</v>
      </c>
      <c r="H681" s="24">
        <v>1</v>
      </c>
      <c r="I681" s="25" t="s">
        <v>189</v>
      </c>
      <c r="J681" s="32">
        <v>45226</v>
      </c>
      <c r="K681" s="24">
        <v>0.8</v>
      </c>
      <c r="L681" s="25">
        <f t="shared" si="59"/>
        <v>675</v>
      </c>
      <c r="M681" s="4">
        <f>IF(Table3[[#This Row],[Afrondingsdatum YB]]="N/A","-",Table3[[#This Row],[Afrondingsdatum YB]]-Table3[[#This Row],[StartDatum]])</f>
        <v>45226</v>
      </c>
      <c r="N681" s="4"/>
      <c r="O681">
        <f t="shared" si="60"/>
        <v>109</v>
      </c>
      <c r="P681">
        <f t="shared" si="60"/>
        <v>105</v>
      </c>
      <c r="Q681">
        <f t="shared" si="60"/>
        <v>108</v>
      </c>
      <c r="R681">
        <f t="shared" si="60"/>
        <v>97</v>
      </c>
      <c r="S681">
        <f t="shared" si="60"/>
        <v>110</v>
      </c>
      <c r="T681">
        <f t="shared" si="60"/>
        <v>46</v>
      </c>
      <c r="U681">
        <f t="shared" si="60"/>
        <v>100</v>
      </c>
      <c r="V681">
        <f t="shared" si="60"/>
        <v>105</v>
      </c>
      <c r="W681" s="5">
        <f t="shared" ref="W681:W744" si="61">ROUND((O681*O$1+P681/P$1+Q681*Q$1+R681/R$1)+SUM(S681:V681),0)</f>
        <v>871</v>
      </c>
      <c r="X681" s="9" t="str">
        <f t="shared" ref="X681:X744" si="62">MID(G681,2,1)&amp;TEXT(W681,"###")</f>
        <v>i871</v>
      </c>
    </row>
    <row r="682" spans="1:24" x14ac:dyDescent="0.2">
      <c r="A682" s="9" t="s">
        <v>425</v>
      </c>
      <c r="B682" s="9">
        <v>1</v>
      </c>
      <c r="C682" s="17">
        <v>11</v>
      </c>
      <c r="D682" s="20"/>
      <c r="E682" s="18">
        <v>45243</v>
      </c>
      <c r="F682" s="18" t="s">
        <v>364</v>
      </c>
      <c r="G682" s="20" t="s">
        <v>49</v>
      </c>
      <c r="H682" s="19">
        <v>1</v>
      </c>
      <c r="I682" s="20" t="s">
        <v>211</v>
      </c>
      <c r="J682" s="34">
        <v>45217</v>
      </c>
      <c r="K682" s="19">
        <v>0.73</v>
      </c>
      <c r="L682" s="20">
        <f t="shared" si="59"/>
        <v>690</v>
      </c>
      <c r="M682" s="4">
        <f>IF(Table3[[#This Row],[Afrondingsdatum YB]]="N/A","-",Table3[[#This Row],[Afrondingsdatum YB]]-Table3[[#This Row],[StartDatum]])</f>
        <v>45217</v>
      </c>
      <c r="N682" s="4"/>
      <c r="O682">
        <f t="shared" si="60"/>
        <v>109</v>
      </c>
      <c r="P682">
        <f t="shared" si="60"/>
        <v>105</v>
      </c>
      <c r="Q682">
        <f t="shared" si="60"/>
        <v>114</v>
      </c>
      <c r="R682">
        <f t="shared" si="60"/>
        <v>110</v>
      </c>
      <c r="S682">
        <f t="shared" si="60"/>
        <v>97</v>
      </c>
      <c r="T682">
        <f t="shared" si="60"/>
        <v>46</v>
      </c>
      <c r="U682">
        <f t="shared" si="60"/>
        <v>109</v>
      </c>
      <c r="V682">
        <f t="shared" si="60"/>
        <v>111</v>
      </c>
      <c r="W682" s="5">
        <f t="shared" si="61"/>
        <v>894</v>
      </c>
      <c r="X682" s="9" t="str">
        <f t="shared" si="62"/>
        <v>i894</v>
      </c>
    </row>
    <row r="683" spans="1:24" x14ac:dyDescent="0.2">
      <c r="A683" s="9" t="s">
        <v>425</v>
      </c>
      <c r="B683" s="9">
        <v>1</v>
      </c>
      <c r="C683" s="17">
        <v>11</v>
      </c>
      <c r="D683" s="20"/>
      <c r="E683" s="23">
        <v>45243</v>
      </c>
      <c r="F683" s="23" t="s">
        <v>364</v>
      </c>
      <c r="G683" s="25" t="s">
        <v>50</v>
      </c>
      <c r="H683" s="24">
        <v>1</v>
      </c>
      <c r="I683" s="25" t="s">
        <v>212</v>
      </c>
      <c r="J683" s="32">
        <v>45217</v>
      </c>
      <c r="K683" s="24">
        <v>0.75</v>
      </c>
      <c r="L683" s="25">
        <f t="shared" si="59"/>
        <v>731</v>
      </c>
      <c r="M683" s="4">
        <f>IF(Table3[[#This Row],[Afrondingsdatum YB]]="N/A","-",Table3[[#This Row],[Afrondingsdatum YB]]-Table3[[#This Row],[StartDatum]])</f>
        <v>45217</v>
      </c>
      <c r="N683" s="4"/>
      <c r="O683">
        <f t="shared" si="60"/>
        <v>109</v>
      </c>
      <c r="P683">
        <f t="shared" si="60"/>
        <v>111</v>
      </c>
      <c r="Q683">
        <f t="shared" si="60"/>
        <v>104</v>
      </c>
      <c r="R683">
        <f t="shared" si="60"/>
        <v>97</v>
      </c>
      <c r="S683">
        <f t="shared" si="60"/>
        <v>109</v>
      </c>
      <c r="T683">
        <f t="shared" si="60"/>
        <v>101</v>
      </c>
      <c r="U683">
        <f t="shared" si="60"/>
        <v>100</v>
      </c>
      <c r="V683">
        <f t="shared" si="60"/>
        <v>46</v>
      </c>
      <c r="W683" s="5">
        <f t="shared" si="61"/>
        <v>857</v>
      </c>
      <c r="X683" s="9" t="str">
        <f t="shared" si="62"/>
        <v>o857</v>
      </c>
    </row>
    <row r="684" spans="1:24" x14ac:dyDescent="0.2">
      <c r="A684" s="9" t="s">
        <v>425</v>
      </c>
      <c r="B684" s="9">
        <v>1</v>
      </c>
      <c r="C684" s="17">
        <v>11</v>
      </c>
      <c r="D684" s="20"/>
      <c r="E684" s="18">
        <v>45243</v>
      </c>
      <c r="F684" s="18" t="s">
        <v>362</v>
      </c>
      <c r="G684" s="20" t="s">
        <v>127</v>
      </c>
      <c r="H684" s="19">
        <v>0.19</v>
      </c>
      <c r="I684" s="20" t="s">
        <v>111</v>
      </c>
      <c r="J684" s="20" t="s">
        <v>7</v>
      </c>
      <c r="K684" s="20" t="s">
        <v>9</v>
      </c>
      <c r="L684" s="20">
        <f t="shared" si="59"/>
        <v>758</v>
      </c>
      <c r="M684" s="4" t="str">
        <f>IF(Table3[[#This Row],[Afrondingsdatum YB]]="N/A","-",Table3[[#This Row],[Afrondingsdatum YB]]-Table3[[#This Row],[StartDatum]])</f>
        <v>-</v>
      </c>
      <c r="N684" s="4"/>
      <c r="O684">
        <f t="shared" si="60"/>
        <v>109</v>
      </c>
      <c r="P684">
        <f t="shared" si="60"/>
        <v>111</v>
      </c>
      <c r="Q684">
        <f t="shared" si="60"/>
        <v>107</v>
      </c>
      <c r="R684">
        <f t="shared" si="60"/>
        <v>104</v>
      </c>
      <c r="S684">
        <f t="shared" si="60"/>
        <v>116</v>
      </c>
      <c r="T684">
        <f t="shared" si="60"/>
        <v>97</v>
      </c>
      <c r="U684">
        <f t="shared" si="60"/>
        <v>114</v>
      </c>
      <c r="V684">
        <f t="shared" si="60"/>
        <v>46</v>
      </c>
      <c r="W684" s="5">
        <f t="shared" si="61"/>
        <v>885</v>
      </c>
      <c r="X684" s="9" t="str">
        <f t="shared" si="62"/>
        <v>o885</v>
      </c>
    </row>
    <row r="685" spans="1:24" x14ac:dyDescent="0.2">
      <c r="A685" s="9" t="s">
        <v>425</v>
      </c>
      <c r="B685" s="9">
        <v>1</v>
      </c>
      <c r="C685" s="17">
        <v>11</v>
      </c>
      <c r="D685" s="20"/>
      <c r="E685" s="23">
        <v>45243</v>
      </c>
      <c r="F685" s="23" t="s">
        <v>363</v>
      </c>
      <c r="G685" s="25" t="s">
        <v>51</v>
      </c>
      <c r="H685" s="24">
        <v>1</v>
      </c>
      <c r="I685" s="25" t="s">
        <v>231</v>
      </c>
      <c r="J685" s="32">
        <v>45228</v>
      </c>
      <c r="K685" s="24">
        <v>0.75</v>
      </c>
      <c r="L685" s="25">
        <f t="shared" si="59"/>
        <v>742</v>
      </c>
      <c r="M685" s="4">
        <f>IF(Table3[[#This Row],[Afrondingsdatum YB]]="N/A","-",Table3[[#This Row],[Afrondingsdatum YB]]-Table3[[#This Row],[StartDatum]])</f>
        <v>45228</v>
      </c>
      <c r="N685" s="4"/>
      <c r="O685">
        <f t="shared" si="60"/>
        <v>110</v>
      </c>
      <c r="P685">
        <f t="shared" si="60"/>
        <v>97</v>
      </c>
      <c r="Q685">
        <f t="shared" si="60"/>
        <v>111</v>
      </c>
      <c r="R685">
        <f t="shared" si="60"/>
        <v>117</v>
      </c>
      <c r="S685">
        <f t="shared" si="60"/>
        <v>102</v>
      </c>
      <c r="T685">
        <f t="shared" si="60"/>
        <v>97</v>
      </c>
      <c r="U685">
        <f t="shared" si="60"/>
        <v>108</v>
      </c>
      <c r="V685">
        <f t="shared" si="60"/>
        <v>46</v>
      </c>
      <c r="W685" s="5">
        <f t="shared" si="61"/>
        <v>874</v>
      </c>
      <c r="X685" s="9" t="str">
        <f t="shared" si="62"/>
        <v>a874</v>
      </c>
    </row>
    <row r="686" spans="1:24" x14ac:dyDescent="0.2">
      <c r="A686" s="9" t="s">
        <v>425</v>
      </c>
      <c r="B686" s="9">
        <v>1</v>
      </c>
      <c r="C686" s="17">
        <v>11</v>
      </c>
      <c r="D686" s="20"/>
      <c r="E686" s="18">
        <v>45243</v>
      </c>
      <c r="F686" s="18" t="s">
        <v>362</v>
      </c>
      <c r="G686" s="20" t="s">
        <v>52</v>
      </c>
      <c r="H686" s="19">
        <v>1</v>
      </c>
      <c r="I686" s="20" t="s">
        <v>145</v>
      </c>
      <c r="J686" s="34">
        <v>45238</v>
      </c>
      <c r="K686" s="19">
        <v>0.8</v>
      </c>
      <c r="L686" s="20">
        <f t="shared" si="59"/>
        <v>684</v>
      </c>
      <c r="M686" s="4">
        <f>IF(Table3[[#This Row],[Afrondingsdatum YB]]="N/A","-",Table3[[#This Row],[Afrondingsdatum YB]]-Table3[[#This Row],[StartDatum]])</f>
        <v>45238</v>
      </c>
      <c r="N686" s="4"/>
      <c r="O686">
        <f t="shared" si="60"/>
        <v>110</v>
      </c>
      <c r="P686">
        <f t="shared" si="60"/>
        <v>105</v>
      </c>
      <c r="Q686">
        <f t="shared" si="60"/>
        <v>99</v>
      </c>
      <c r="R686">
        <f t="shared" si="60"/>
        <v>107</v>
      </c>
      <c r="S686">
        <f t="shared" si="60"/>
        <v>46</v>
      </c>
      <c r="T686">
        <f t="shared" si="60"/>
        <v>106</v>
      </c>
      <c r="U686">
        <f t="shared" si="60"/>
        <v>111</v>
      </c>
      <c r="V686">
        <f t="shared" si="60"/>
        <v>111</v>
      </c>
      <c r="W686" s="5">
        <f t="shared" si="61"/>
        <v>860</v>
      </c>
      <c r="X686" s="9" t="str">
        <f t="shared" si="62"/>
        <v>i860</v>
      </c>
    </row>
    <row r="687" spans="1:24" x14ac:dyDescent="0.2">
      <c r="A687" s="9" t="s">
        <v>425</v>
      </c>
      <c r="B687" s="9">
        <v>1</v>
      </c>
      <c r="C687" s="17">
        <v>11</v>
      </c>
      <c r="D687" s="20"/>
      <c r="E687" s="23">
        <v>45243</v>
      </c>
      <c r="F687" s="23" t="s">
        <v>364</v>
      </c>
      <c r="G687" s="25" t="s">
        <v>53</v>
      </c>
      <c r="H687" s="24">
        <v>1</v>
      </c>
      <c r="I687" s="25" t="s">
        <v>194</v>
      </c>
      <c r="J687" s="32">
        <v>45234</v>
      </c>
      <c r="K687" s="24">
        <v>0.78</v>
      </c>
      <c r="L687" s="25">
        <f t="shared" si="59"/>
        <v>737</v>
      </c>
      <c r="M687" s="4">
        <f>IF(Table3[[#This Row],[Afrondingsdatum YB]]="N/A","-",Table3[[#This Row],[Afrondingsdatum YB]]-Table3[[#This Row],[StartDatum]])</f>
        <v>45234</v>
      </c>
      <c r="N687" s="4"/>
      <c r="O687">
        <f t="shared" si="60"/>
        <v>110</v>
      </c>
      <c r="P687">
        <f t="shared" si="60"/>
        <v>105</v>
      </c>
      <c r="Q687">
        <f t="shared" si="60"/>
        <v>99</v>
      </c>
      <c r="R687">
        <f t="shared" si="60"/>
        <v>107</v>
      </c>
      <c r="S687">
        <f t="shared" si="60"/>
        <v>111</v>
      </c>
      <c r="T687">
        <f t="shared" si="60"/>
        <v>108</v>
      </c>
      <c r="U687">
        <f t="shared" si="60"/>
        <v>97</v>
      </c>
      <c r="V687">
        <f t="shared" si="60"/>
        <v>115</v>
      </c>
      <c r="W687" s="5">
        <f t="shared" si="61"/>
        <v>917</v>
      </c>
      <c r="X687" s="9" t="str">
        <f t="shared" si="62"/>
        <v>i917</v>
      </c>
    </row>
    <row r="688" spans="1:24" x14ac:dyDescent="0.2">
      <c r="A688" s="9" t="s">
        <v>425</v>
      </c>
      <c r="B688" s="9">
        <v>1</v>
      </c>
      <c r="C688" s="17">
        <v>11</v>
      </c>
      <c r="D688" s="20"/>
      <c r="E688" s="18">
        <v>45243</v>
      </c>
      <c r="F688" s="18" t="s">
        <v>364</v>
      </c>
      <c r="G688" s="20" t="s">
        <v>54</v>
      </c>
      <c r="H688" s="19">
        <v>1</v>
      </c>
      <c r="I688" s="20" t="s">
        <v>265</v>
      </c>
      <c r="J688" s="34">
        <v>45242</v>
      </c>
      <c r="K688" s="19">
        <v>0.73</v>
      </c>
      <c r="L688" s="20">
        <f t="shared" si="59"/>
        <v>705</v>
      </c>
      <c r="M688" s="4">
        <f>IF(Table3[[#This Row],[Afrondingsdatum YB]]="N/A","-",Table3[[#This Row],[Afrondingsdatum YB]]-Table3[[#This Row],[StartDatum]])</f>
        <v>45242</v>
      </c>
      <c r="N688" s="4"/>
      <c r="O688">
        <f t="shared" si="60"/>
        <v>110</v>
      </c>
      <c r="P688">
        <f t="shared" si="60"/>
        <v>105</v>
      </c>
      <c r="Q688">
        <f t="shared" si="60"/>
        <v>115</v>
      </c>
      <c r="R688">
        <f t="shared" si="60"/>
        <v>114</v>
      </c>
      <c r="S688">
        <f t="shared" si="60"/>
        <v>105</v>
      </c>
      <c r="T688">
        <f t="shared" si="60"/>
        <v>110</v>
      </c>
      <c r="U688">
        <f t="shared" si="60"/>
        <v>46</v>
      </c>
      <c r="V688">
        <f t="shared" si="60"/>
        <v>104</v>
      </c>
      <c r="W688" s="5">
        <f t="shared" si="61"/>
        <v>901</v>
      </c>
      <c r="X688" s="9" t="str">
        <f t="shared" si="62"/>
        <v>i901</v>
      </c>
    </row>
    <row r="689" spans="1:24" x14ac:dyDescent="0.2">
      <c r="A689" s="9" t="s">
        <v>425</v>
      </c>
      <c r="B689" s="9">
        <v>1</v>
      </c>
      <c r="C689" s="17">
        <v>11</v>
      </c>
      <c r="D689" s="20"/>
      <c r="E689" s="23">
        <v>45243</v>
      </c>
      <c r="F689" s="23" t="s">
        <v>364</v>
      </c>
      <c r="G689" s="25" t="s">
        <v>55</v>
      </c>
      <c r="H689" s="24">
        <v>1</v>
      </c>
      <c r="I689" s="25" t="s">
        <v>214</v>
      </c>
      <c r="J689" s="32">
        <v>45217</v>
      </c>
      <c r="K689" s="24">
        <v>0.95</v>
      </c>
      <c r="L689" s="25">
        <f t="shared" si="59"/>
        <v>681</v>
      </c>
      <c r="M689" s="4">
        <f>IF(Table3[[#This Row],[Afrondingsdatum YB]]="N/A","-",Table3[[#This Row],[Afrondingsdatum YB]]-Table3[[#This Row],[StartDatum]])</f>
        <v>45217</v>
      </c>
      <c r="N689" s="4"/>
      <c r="O689">
        <f t="shared" si="60"/>
        <v>110</v>
      </c>
      <c r="P689">
        <f t="shared" si="60"/>
        <v>111</v>
      </c>
      <c r="Q689">
        <f t="shared" si="60"/>
        <v>101</v>
      </c>
      <c r="R689">
        <f t="shared" si="60"/>
        <v>108</v>
      </c>
      <c r="S689">
        <f t="shared" si="60"/>
        <v>108</v>
      </c>
      <c r="T689">
        <f t="shared" si="60"/>
        <v>97</v>
      </c>
      <c r="U689">
        <f t="shared" si="60"/>
        <v>46</v>
      </c>
      <c r="V689">
        <f t="shared" si="60"/>
        <v>108</v>
      </c>
      <c r="W689" s="5">
        <f t="shared" si="61"/>
        <v>855</v>
      </c>
      <c r="X689" s="9" t="str">
        <f t="shared" si="62"/>
        <v>o855</v>
      </c>
    </row>
    <row r="690" spans="1:24" x14ac:dyDescent="0.2">
      <c r="A690" s="9" t="s">
        <v>425</v>
      </c>
      <c r="B690" s="9">
        <v>1</v>
      </c>
      <c r="C690" s="17">
        <v>11</v>
      </c>
      <c r="D690" s="20"/>
      <c r="E690" s="18">
        <v>45243</v>
      </c>
      <c r="F690" s="18" t="s">
        <v>363</v>
      </c>
      <c r="G690" s="20" t="s">
        <v>56</v>
      </c>
      <c r="H690" s="19">
        <v>1</v>
      </c>
      <c r="I690" s="20" t="s">
        <v>232</v>
      </c>
      <c r="J690" s="34">
        <v>45228</v>
      </c>
      <c r="K690" s="19">
        <v>0.83</v>
      </c>
      <c r="L690" s="20">
        <f t="shared" si="59"/>
        <v>708</v>
      </c>
      <c r="M690" s="4">
        <f>IF(Table3[[#This Row],[Afrondingsdatum YB]]="N/A","-",Table3[[#This Row],[Afrondingsdatum YB]]-Table3[[#This Row],[StartDatum]])</f>
        <v>45228</v>
      </c>
      <c r="N690" s="4"/>
      <c r="O690">
        <f t="shared" si="60"/>
        <v>110</v>
      </c>
      <c r="P690">
        <f t="shared" si="60"/>
        <v>117</v>
      </c>
      <c r="Q690">
        <f t="shared" si="60"/>
        <v>112</v>
      </c>
      <c r="R690">
        <f t="shared" si="60"/>
        <v>101</v>
      </c>
      <c r="S690">
        <f t="shared" si="60"/>
        <v>108</v>
      </c>
      <c r="T690">
        <f t="shared" si="60"/>
        <v>46</v>
      </c>
      <c r="U690">
        <f t="shared" si="60"/>
        <v>114</v>
      </c>
      <c r="V690">
        <f t="shared" si="60"/>
        <v>117</v>
      </c>
      <c r="W690" s="5">
        <f t="shared" si="61"/>
        <v>915</v>
      </c>
      <c r="X690" s="9" t="str">
        <f t="shared" si="62"/>
        <v>u915</v>
      </c>
    </row>
    <row r="691" spans="1:24" x14ac:dyDescent="0.2">
      <c r="A691" s="9" t="s">
        <v>425</v>
      </c>
      <c r="B691" s="9">
        <v>1</v>
      </c>
      <c r="C691" s="17">
        <v>11</v>
      </c>
      <c r="D691" s="20"/>
      <c r="E691" s="23">
        <v>45243</v>
      </c>
      <c r="F691" s="23" t="s">
        <v>364</v>
      </c>
      <c r="G691" s="25" t="s">
        <v>57</v>
      </c>
      <c r="H691" s="24">
        <v>1</v>
      </c>
      <c r="I691" s="25" t="s">
        <v>233</v>
      </c>
      <c r="J691" s="32">
        <v>45228</v>
      </c>
      <c r="K691" s="24">
        <v>0.73</v>
      </c>
      <c r="L691" s="25">
        <f t="shared" si="59"/>
        <v>762</v>
      </c>
      <c r="M691" s="4">
        <f>IF(Table3[[#This Row],[Afrondingsdatum YB]]="N/A","-",Table3[[#This Row],[Afrondingsdatum YB]]-Table3[[#This Row],[StartDatum]])</f>
        <v>45228</v>
      </c>
      <c r="N691" s="4"/>
      <c r="O691">
        <f t="shared" si="60"/>
        <v>111</v>
      </c>
      <c r="P691">
        <f t="shared" si="60"/>
        <v>108</v>
      </c>
      <c r="Q691">
        <f t="shared" si="60"/>
        <v>105</v>
      </c>
      <c r="R691">
        <f t="shared" si="60"/>
        <v>118</v>
      </c>
      <c r="S691">
        <f t="shared" si="60"/>
        <v>105</v>
      </c>
      <c r="T691">
        <f t="shared" si="60"/>
        <v>101</v>
      </c>
      <c r="U691">
        <f t="shared" si="60"/>
        <v>114</v>
      </c>
      <c r="V691">
        <f t="shared" si="60"/>
        <v>46</v>
      </c>
      <c r="W691" s="5">
        <f t="shared" si="61"/>
        <v>876</v>
      </c>
      <c r="X691" s="9" t="str">
        <f t="shared" si="62"/>
        <v>l876</v>
      </c>
    </row>
    <row r="692" spans="1:24" x14ac:dyDescent="0.2">
      <c r="A692" s="9" t="s">
        <v>425</v>
      </c>
      <c r="B692" s="9">
        <v>1</v>
      </c>
      <c r="C692" s="17">
        <v>11</v>
      </c>
      <c r="D692" s="20"/>
      <c r="E692" s="18">
        <v>45243</v>
      </c>
      <c r="F692" s="18" t="s">
        <v>362</v>
      </c>
      <c r="G692" s="20" t="s">
        <v>58</v>
      </c>
      <c r="H692" s="19">
        <v>1</v>
      </c>
      <c r="I692" s="20" t="s">
        <v>266</v>
      </c>
      <c r="J692" s="34">
        <v>45237</v>
      </c>
      <c r="K692" s="19">
        <v>0.9</v>
      </c>
      <c r="L692" s="20">
        <f t="shared" si="59"/>
        <v>681</v>
      </c>
      <c r="M692" s="4">
        <f>IF(Table3[[#This Row],[Afrondingsdatum YB]]="N/A","-",Table3[[#This Row],[Afrondingsdatum YB]]-Table3[[#This Row],[StartDatum]])</f>
        <v>45237</v>
      </c>
      <c r="N692" s="4"/>
      <c r="O692">
        <f t="shared" si="60"/>
        <v>112</v>
      </c>
      <c r="P692">
        <f t="shared" si="60"/>
        <v>97</v>
      </c>
      <c r="Q692">
        <f t="shared" si="60"/>
        <v>117</v>
      </c>
      <c r="R692">
        <f t="shared" si="60"/>
        <v>108</v>
      </c>
      <c r="S692">
        <f t="shared" si="60"/>
        <v>46</v>
      </c>
      <c r="T692">
        <f t="shared" si="60"/>
        <v>100</v>
      </c>
      <c r="U692">
        <f t="shared" si="60"/>
        <v>101</v>
      </c>
      <c r="V692">
        <f t="shared" si="60"/>
        <v>46</v>
      </c>
      <c r="W692" s="5">
        <f t="shared" si="61"/>
        <v>832</v>
      </c>
      <c r="X692" s="9" t="str">
        <f t="shared" si="62"/>
        <v>a832</v>
      </c>
    </row>
    <row r="693" spans="1:24" x14ac:dyDescent="0.2">
      <c r="A693" s="9" t="s">
        <v>425</v>
      </c>
      <c r="B693" s="9">
        <v>1</v>
      </c>
      <c r="C693" s="17">
        <v>11</v>
      </c>
      <c r="D693" s="20"/>
      <c r="E693" s="23">
        <v>45243</v>
      </c>
      <c r="F693" s="23" t="s">
        <v>364</v>
      </c>
      <c r="G693" s="25" t="s">
        <v>59</v>
      </c>
      <c r="H693" s="24">
        <v>1</v>
      </c>
      <c r="I693" s="25" t="s">
        <v>148</v>
      </c>
      <c r="J693" s="32">
        <v>45236</v>
      </c>
      <c r="K693" s="24">
        <v>0.78</v>
      </c>
      <c r="L693" s="25">
        <f t="shared" si="59"/>
        <v>695</v>
      </c>
      <c r="M693" s="4">
        <f>IF(Table3[[#This Row],[Afrondingsdatum YB]]="N/A","-",Table3[[#This Row],[Afrondingsdatum YB]]-Table3[[#This Row],[StartDatum]])</f>
        <v>45236</v>
      </c>
      <c r="N693" s="4"/>
      <c r="O693">
        <f t="shared" si="60"/>
        <v>112</v>
      </c>
      <c r="P693">
        <f t="shared" si="60"/>
        <v>105</v>
      </c>
      <c r="Q693">
        <f t="shared" si="60"/>
        <v>101</v>
      </c>
      <c r="R693">
        <f t="shared" si="60"/>
        <v>116</v>
      </c>
      <c r="S693">
        <f t="shared" si="60"/>
        <v>101</v>
      </c>
      <c r="T693">
        <f t="shared" si="60"/>
        <v>114</v>
      </c>
      <c r="U693">
        <f t="shared" si="60"/>
        <v>46</v>
      </c>
      <c r="V693">
        <f t="shared" si="60"/>
        <v>109</v>
      </c>
      <c r="W693" s="5">
        <f t="shared" si="61"/>
        <v>867</v>
      </c>
      <c r="X693" s="9" t="str">
        <f t="shared" si="62"/>
        <v>i867</v>
      </c>
    </row>
    <row r="694" spans="1:24" x14ac:dyDescent="0.2">
      <c r="A694" s="9" t="s">
        <v>425</v>
      </c>
      <c r="B694" s="9">
        <v>1</v>
      </c>
      <c r="C694" s="17">
        <v>11</v>
      </c>
      <c r="D694" s="20"/>
      <c r="E694" s="18">
        <v>45243</v>
      </c>
      <c r="F694" s="18" t="s">
        <v>362</v>
      </c>
      <c r="G694" s="20" t="s">
        <v>60</v>
      </c>
      <c r="H694" s="19">
        <v>1</v>
      </c>
      <c r="I694" s="20" t="s">
        <v>72</v>
      </c>
      <c r="J694" s="34">
        <v>45222</v>
      </c>
      <c r="K694" s="19">
        <v>0.8</v>
      </c>
      <c r="L694" s="20">
        <f t="shared" si="59"/>
        <v>703</v>
      </c>
      <c r="M694" s="4">
        <f>IF(Table3[[#This Row],[Afrondingsdatum YB]]="N/A","-",Table3[[#This Row],[Afrondingsdatum YB]]-Table3[[#This Row],[StartDatum]])</f>
        <v>45222</v>
      </c>
      <c r="N694" s="4"/>
      <c r="O694">
        <f t="shared" si="60"/>
        <v>114</v>
      </c>
      <c r="P694">
        <f t="shared" si="60"/>
        <v>101</v>
      </c>
      <c r="Q694">
        <f t="shared" si="60"/>
        <v>110</v>
      </c>
      <c r="R694">
        <f t="shared" si="60"/>
        <v>115</v>
      </c>
      <c r="S694">
        <f t="shared" si="60"/>
        <v>46</v>
      </c>
      <c r="T694">
        <f t="shared" si="60"/>
        <v>103</v>
      </c>
      <c r="U694">
        <f t="shared" si="60"/>
        <v>114</v>
      </c>
      <c r="V694">
        <f t="shared" si="60"/>
        <v>111</v>
      </c>
      <c r="W694" s="5">
        <f t="shared" si="61"/>
        <v>897</v>
      </c>
      <c r="X694" s="9" t="str">
        <f t="shared" si="62"/>
        <v>e897</v>
      </c>
    </row>
    <row r="695" spans="1:24" x14ac:dyDescent="0.2">
      <c r="A695" s="9" t="s">
        <v>425</v>
      </c>
      <c r="B695" s="9">
        <v>1</v>
      </c>
      <c r="C695" s="17">
        <v>11</v>
      </c>
      <c r="D695" s="20"/>
      <c r="E695" s="23">
        <v>45243</v>
      </c>
      <c r="F695" s="23" t="s">
        <v>363</v>
      </c>
      <c r="G695" s="25" t="s">
        <v>61</v>
      </c>
      <c r="H695" s="24">
        <v>1</v>
      </c>
      <c r="I695" s="25" t="s">
        <v>86</v>
      </c>
      <c r="J695" s="32">
        <v>45228</v>
      </c>
      <c r="K695" s="24">
        <v>0.75</v>
      </c>
      <c r="L695" s="25">
        <f t="shared" si="59"/>
        <v>697</v>
      </c>
      <c r="M695" s="4">
        <f>IF(Table3[[#This Row],[Afrondingsdatum YB]]="N/A","-",Table3[[#This Row],[Afrondingsdatum YB]]-Table3[[#This Row],[StartDatum]])</f>
        <v>45228</v>
      </c>
      <c r="N695" s="4"/>
      <c r="O695">
        <f t="shared" si="60"/>
        <v>114</v>
      </c>
      <c r="P695">
        <f t="shared" si="60"/>
        <v>111</v>
      </c>
      <c r="Q695">
        <f t="shared" si="60"/>
        <v>119</v>
      </c>
      <c r="R695">
        <f t="shared" si="60"/>
        <v>97</v>
      </c>
      <c r="S695">
        <f t="shared" si="60"/>
        <v>110</v>
      </c>
      <c r="T695">
        <f t="shared" si="60"/>
        <v>46</v>
      </c>
      <c r="U695">
        <f t="shared" si="60"/>
        <v>100</v>
      </c>
      <c r="V695">
        <f t="shared" si="60"/>
        <v>101</v>
      </c>
      <c r="W695" s="5">
        <f t="shared" si="61"/>
        <v>908</v>
      </c>
      <c r="X695" s="9" t="str">
        <f t="shared" si="62"/>
        <v>o908</v>
      </c>
    </row>
    <row r="696" spans="1:24" x14ac:dyDescent="0.2">
      <c r="A696" s="9" t="s">
        <v>425</v>
      </c>
      <c r="B696" s="9">
        <v>1</v>
      </c>
      <c r="C696" s="17">
        <v>11</v>
      </c>
      <c r="D696" s="20"/>
      <c r="E696" s="18">
        <v>45243</v>
      </c>
      <c r="F696" s="18" t="s">
        <v>363</v>
      </c>
      <c r="G696" s="20" t="s">
        <v>84</v>
      </c>
      <c r="H696" s="19">
        <v>1</v>
      </c>
      <c r="I696" s="20" t="s">
        <v>176</v>
      </c>
      <c r="J696" s="34">
        <v>45231</v>
      </c>
      <c r="K696" s="19">
        <v>0.83</v>
      </c>
      <c r="L696" s="20">
        <f t="shared" si="59"/>
        <v>683</v>
      </c>
      <c r="M696" s="4">
        <f>IF(Table3[[#This Row],[Afrondingsdatum YB]]="N/A","-",Table3[[#This Row],[Afrondingsdatum YB]]-Table3[[#This Row],[StartDatum]])</f>
        <v>45231</v>
      </c>
      <c r="N696" s="4"/>
      <c r="O696">
        <f t="shared" si="60"/>
        <v>115</v>
      </c>
      <c r="P696">
        <f t="shared" si="60"/>
        <v>97</v>
      </c>
      <c r="Q696">
        <f t="shared" si="60"/>
        <v>110</v>
      </c>
      <c r="R696">
        <f t="shared" si="60"/>
        <v>100</v>
      </c>
      <c r="S696">
        <f t="shared" si="60"/>
        <v>101</v>
      </c>
      <c r="T696">
        <f t="shared" si="60"/>
        <v>114</v>
      </c>
      <c r="U696">
        <f t="shared" si="60"/>
        <v>46</v>
      </c>
      <c r="V696">
        <f t="shared" si="60"/>
        <v>98</v>
      </c>
      <c r="W696" s="5">
        <f t="shared" si="61"/>
        <v>878</v>
      </c>
      <c r="X696" s="9" t="str">
        <f t="shared" si="62"/>
        <v>a878</v>
      </c>
    </row>
    <row r="697" spans="1:24" x14ac:dyDescent="0.2">
      <c r="A697" s="9" t="s">
        <v>425</v>
      </c>
      <c r="B697" s="9">
        <v>1</v>
      </c>
      <c r="C697" s="17">
        <v>11</v>
      </c>
      <c r="D697" s="20"/>
      <c r="E697" s="23">
        <v>45243</v>
      </c>
      <c r="F697" s="23" t="s">
        <v>363</v>
      </c>
      <c r="G697" s="25" t="s">
        <v>62</v>
      </c>
      <c r="H697" s="24">
        <v>1</v>
      </c>
      <c r="I697" s="25" t="s">
        <v>162</v>
      </c>
      <c r="J697" s="32">
        <v>45202</v>
      </c>
      <c r="K697" s="24">
        <v>0.75</v>
      </c>
      <c r="L697" s="25">
        <f t="shared" si="59"/>
        <v>670</v>
      </c>
      <c r="M697" s="4">
        <f>IF(Table3[[#This Row],[Afrondingsdatum YB]]="N/A","-",Table3[[#This Row],[Afrondingsdatum YB]]-Table3[[#This Row],[StartDatum]])</f>
        <v>45202</v>
      </c>
      <c r="N697" s="4"/>
      <c r="O697">
        <f t="shared" si="60"/>
        <v>115</v>
      </c>
      <c r="P697">
        <f t="shared" si="60"/>
        <v>97</v>
      </c>
      <c r="Q697">
        <f t="shared" si="60"/>
        <v>114</v>
      </c>
      <c r="R697">
        <f t="shared" si="60"/>
        <v>97</v>
      </c>
      <c r="S697">
        <f t="shared" si="60"/>
        <v>46</v>
      </c>
      <c r="T697">
        <f t="shared" si="60"/>
        <v>100</v>
      </c>
      <c r="U697">
        <f t="shared" si="60"/>
        <v>101</v>
      </c>
      <c r="V697">
        <f t="shared" si="60"/>
        <v>46</v>
      </c>
      <c r="W697" s="5">
        <f t="shared" si="61"/>
        <v>823</v>
      </c>
      <c r="X697" s="9" t="str">
        <f t="shared" si="62"/>
        <v>a823</v>
      </c>
    </row>
    <row r="698" spans="1:24" x14ac:dyDescent="0.2">
      <c r="A698" s="9" t="s">
        <v>425</v>
      </c>
      <c r="B698" s="9">
        <v>1</v>
      </c>
      <c r="C698" s="17">
        <v>11</v>
      </c>
      <c r="D698" s="20"/>
      <c r="E698" s="18">
        <v>45243</v>
      </c>
      <c r="F698" s="18" t="s">
        <v>362</v>
      </c>
      <c r="G698" s="20" t="s">
        <v>131</v>
      </c>
      <c r="H698" s="19">
        <v>1</v>
      </c>
      <c r="I698" s="20" t="s">
        <v>249</v>
      </c>
      <c r="J698" s="34">
        <v>45239</v>
      </c>
      <c r="K698" s="19">
        <v>0.9</v>
      </c>
      <c r="L698" s="20">
        <f t="shared" si="59"/>
        <v>675</v>
      </c>
      <c r="M698" s="4">
        <f>IF(Table3[[#This Row],[Afrondingsdatum YB]]="N/A","-",Table3[[#This Row],[Afrondingsdatum YB]]-Table3[[#This Row],[StartDatum]])</f>
        <v>45239</v>
      </c>
      <c r="N698" s="4"/>
      <c r="O698">
        <f t="shared" si="60"/>
        <v>115</v>
      </c>
      <c r="P698">
        <f t="shared" si="60"/>
        <v>97</v>
      </c>
      <c r="Q698">
        <f t="shared" si="60"/>
        <v>114</v>
      </c>
      <c r="R698">
        <f t="shared" si="60"/>
        <v>97</v>
      </c>
      <c r="S698">
        <f t="shared" si="60"/>
        <v>104</v>
      </c>
      <c r="T698">
        <f t="shared" si="60"/>
        <v>46</v>
      </c>
      <c r="U698">
        <f t="shared" si="60"/>
        <v>102</v>
      </c>
      <c r="V698">
        <f t="shared" si="60"/>
        <v>97</v>
      </c>
      <c r="W698" s="5">
        <f t="shared" si="61"/>
        <v>879</v>
      </c>
      <c r="X698" s="9" t="str">
        <f t="shared" si="62"/>
        <v>a879</v>
      </c>
    </row>
    <row r="699" spans="1:24" x14ac:dyDescent="0.2">
      <c r="A699" s="9" t="s">
        <v>425</v>
      </c>
      <c r="B699" s="9">
        <v>1</v>
      </c>
      <c r="C699" s="17">
        <v>11</v>
      </c>
      <c r="D699" s="20"/>
      <c r="E699" s="23">
        <v>45243</v>
      </c>
      <c r="F699" s="23" t="s">
        <v>364</v>
      </c>
      <c r="G699" s="25" t="s">
        <v>108</v>
      </c>
      <c r="H699" s="24">
        <v>1</v>
      </c>
      <c r="I699" s="25" t="s">
        <v>267</v>
      </c>
      <c r="J699" s="32">
        <v>45236</v>
      </c>
      <c r="K699" s="24">
        <v>0.88</v>
      </c>
      <c r="L699" s="25">
        <f t="shared" si="59"/>
        <v>760</v>
      </c>
      <c r="M699" s="4">
        <f>IF(Table3[[#This Row],[Afrondingsdatum YB]]="N/A","-",Table3[[#This Row],[Afrondingsdatum YB]]-Table3[[#This Row],[StartDatum]])</f>
        <v>45236</v>
      </c>
      <c r="N699" s="4"/>
      <c r="O699">
        <f t="shared" si="60"/>
        <v>115</v>
      </c>
      <c r="P699">
        <f t="shared" si="60"/>
        <v>97</v>
      </c>
      <c r="Q699">
        <f t="shared" si="60"/>
        <v>118</v>
      </c>
      <c r="R699">
        <f t="shared" si="60"/>
        <v>101</v>
      </c>
      <c r="S699">
        <f t="shared" si="60"/>
        <v>114</v>
      </c>
      <c r="T699">
        <f t="shared" si="60"/>
        <v>105</v>
      </c>
      <c r="U699">
        <f t="shared" si="60"/>
        <v>110</v>
      </c>
      <c r="V699">
        <f t="shared" si="60"/>
        <v>105</v>
      </c>
      <c r="W699" s="5">
        <f t="shared" si="61"/>
        <v>977</v>
      </c>
      <c r="X699" s="9" t="str">
        <f t="shared" si="62"/>
        <v>a977</v>
      </c>
    </row>
    <row r="700" spans="1:24" x14ac:dyDescent="0.2">
      <c r="A700" s="9" t="s">
        <v>425</v>
      </c>
      <c r="B700" s="9">
        <v>1</v>
      </c>
      <c r="C700" s="17">
        <v>11</v>
      </c>
      <c r="D700" s="20"/>
      <c r="E700" s="18">
        <v>45243</v>
      </c>
      <c r="F700" s="18" t="s">
        <v>364</v>
      </c>
      <c r="G700" s="20" t="s">
        <v>109</v>
      </c>
      <c r="H700" s="19">
        <v>0.99</v>
      </c>
      <c r="I700" s="20" t="s">
        <v>268</v>
      </c>
      <c r="J700" s="20" t="s">
        <v>7</v>
      </c>
      <c r="K700" s="20" t="s">
        <v>9</v>
      </c>
      <c r="L700" s="20">
        <f t="shared" si="59"/>
        <v>696</v>
      </c>
      <c r="M700" s="4" t="str">
        <f>IF(Table3[[#This Row],[Afrondingsdatum YB]]="N/A","-",Table3[[#This Row],[Afrondingsdatum YB]]-Table3[[#This Row],[StartDatum]])</f>
        <v>-</v>
      </c>
      <c r="N700" s="4"/>
      <c r="O700">
        <f t="shared" si="60"/>
        <v>115</v>
      </c>
      <c r="P700">
        <f t="shared" si="60"/>
        <v>101</v>
      </c>
      <c r="Q700">
        <f t="shared" si="60"/>
        <v>109</v>
      </c>
      <c r="R700">
        <f t="shared" si="60"/>
        <v>46</v>
      </c>
      <c r="S700">
        <f t="shared" si="60"/>
        <v>118</v>
      </c>
      <c r="T700">
        <f t="shared" si="60"/>
        <v>97</v>
      </c>
      <c r="U700">
        <f t="shared" si="60"/>
        <v>110</v>
      </c>
      <c r="V700">
        <f t="shared" si="60"/>
        <v>46</v>
      </c>
      <c r="W700" s="5">
        <f t="shared" si="61"/>
        <v>875</v>
      </c>
      <c r="X700" s="9" t="str">
        <f t="shared" si="62"/>
        <v>e875</v>
      </c>
    </row>
    <row r="701" spans="1:24" x14ac:dyDescent="0.2">
      <c r="A701" s="9" t="s">
        <v>425</v>
      </c>
      <c r="B701" s="9">
        <v>1</v>
      </c>
      <c r="C701" s="17">
        <v>11</v>
      </c>
      <c r="D701" s="20"/>
      <c r="E701" s="23">
        <v>45243</v>
      </c>
      <c r="F701" s="23" t="s">
        <v>362</v>
      </c>
      <c r="G701" s="25" t="s">
        <v>63</v>
      </c>
      <c r="H701" s="24">
        <v>0.24</v>
      </c>
      <c r="I701" s="25" t="s">
        <v>269</v>
      </c>
      <c r="J701" s="25" t="s">
        <v>7</v>
      </c>
      <c r="K701" s="25" t="s">
        <v>9</v>
      </c>
      <c r="L701" s="25">
        <f t="shared" si="59"/>
        <v>673</v>
      </c>
      <c r="M701" s="4" t="str">
        <f>IF(Table3[[#This Row],[Afrondingsdatum YB]]="N/A","-",Table3[[#This Row],[Afrondingsdatum YB]]-Table3[[#This Row],[StartDatum]])</f>
        <v>-</v>
      </c>
      <c r="N701" s="4"/>
      <c r="O701">
        <f t="shared" si="60"/>
        <v>83</v>
      </c>
      <c r="P701">
        <f t="shared" si="60"/>
        <v>121</v>
      </c>
      <c r="Q701">
        <f t="shared" si="60"/>
        <v>98</v>
      </c>
      <c r="R701">
        <f t="shared" si="60"/>
        <v>114</v>
      </c>
      <c r="S701">
        <f t="shared" si="60"/>
        <v>101</v>
      </c>
      <c r="T701">
        <f t="shared" si="60"/>
        <v>110</v>
      </c>
      <c r="U701">
        <f t="shared" si="60"/>
        <v>46</v>
      </c>
      <c r="V701">
        <f t="shared" si="60"/>
        <v>104</v>
      </c>
      <c r="W701" s="5">
        <f t="shared" si="61"/>
        <v>827</v>
      </c>
      <c r="X701" s="9" t="str">
        <f t="shared" si="62"/>
        <v>y827</v>
      </c>
    </row>
    <row r="702" spans="1:24" x14ac:dyDescent="0.2">
      <c r="A702" s="9" t="s">
        <v>425</v>
      </c>
      <c r="B702" s="9">
        <v>1</v>
      </c>
      <c r="C702" s="17">
        <v>11</v>
      </c>
      <c r="D702" s="20"/>
      <c r="E702" s="18">
        <v>45243</v>
      </c>
      <c r="F702" s="18" t="s">
        <v>363</v>
      </c>
      <c r="G702" s="20" t="s">
        <v>64</v>
      </c>
      <c r="H702" s="19">
        <v>1</v>
      </c>
      <c r="I702" s="20" t="s">
        <v>159</v>
      </c>
      <c r="J702" s="34">
        <v>45226</v>
      </c>
      <c r="K702" s="19">
        <v>0.75</v>
      </c>
      <c r="L702" s="20">
        <f t="shared" si="59"/>
        <v>709</v>
      </c>
      <c r="M702" s="4">
        <f>IF(Table3[[#This Row],[Afrondingsdatum YB]]="N/A","-",Table3[[#This Row],[Afrondingsdatum YB]]-Table3[[#This Row],[StartDatum]])</f>
        <v>45226</v>
      </c>
      <c r="N702" s="4"/>
      <c r="O702">
        <f t="shared" si="60"/>
        <v>116</v>
      </c>
      <c r="P702">
        <f t="shared" si="60"/>
        <v>101</v>
      </c>
      <c r="Q702">
        <f t="shared" si="60"/>
        <v>117</v>
      </c>
      <c r="R702">
        <f t="shared" si="60"/>
        <v>110</v>
      </c>
      <c r="S702">
        <f t="shared" si="60"/>
        <v>46</v>
      </c>
      <c r="T702">
        <f t="shared" si="60"/>
        <v>114</v>
      </c>
      <c r="U702">
        <f t="shared" si="60"/>
        <v>105</v>
      </c>
      <c r="V702">
        <f t="shared" si="60"/>
        <v>110</v>
      </c>
      <c r="W702" s="5">
        <f t="shared" si="61"/>
        <v>920</v>
      </c>
      <c r="X702" s="9" t="str">
        <f t="shared" si="62"/>
        <v>e920</v>
      </c>
    </row>
    <row r="703" spans="1:24" x14ac:dyDescent="0.2">
      <c r="A703" s="9" t="s">
        <v>425</v>
      </c>
      <c r="B703" s="9">
        <v>1</v>
      </c>
      <c r="C703" s="17">
        <v>11</v>
      </c>
      <c r="D703" s="20"/>
      <c r="E703" s="23">
        <v>45243</v>
      </c>
      <c r="F703" s="23" t="s">
        <v>362</v>
      </c>
      <c r="G703" s="25" t="s">
        <v>132</v>
      </c>
      <c r="H703" s="24">
        <v>0.94</v>
      </c>
      <c r="I703" s="25" t="s">
        <v>270</v>
      </c>
      <c r="J703" s="25" t="s">
        <v>7</v>
      </c>
      <c r="K703" s="25" t="s">
        <v>9</v>
      </c>
      <c r="L703" s="25">
        <f t="shared" si="59"/>
        <v>697</v>
      </c>
      <c r="M703" s="4" t="str">
        <f>IF(Table3[[#This Row],[Afrondingsdatum YB]]="N/A","-",Table3[[#This Row],[Afrondingsdatum YB]]-Table3[[#This Row],[StartDatum]])</f>
        <v>-</v>
      </c>
      <c r="N703" s="4"/>
      <c r="O703">
        <f t="shared" si="60"/>
        <v>116</v>
      </c>
      <c r="P703">
        <f t="shared" si="60"/>
        <v>104</v>
      </c>
      <c r="Q703">
        <f t="shared" si="60"/>
        <v>105</v>
      </c>
      <c r="R703">
        <f t="shared" si="60"/>
        <v>114</v>
      </c>
      <c r="S703">
        <f t="shared" si="60"/>
        <v>115</v>
      </c>
      <c r="T703">
        <f t="shared" si="60"/>
        <v>97</v>
      </c>
      <c r="U703">
        <f t="shared" si="60"/>
        <v>46</v>
      </c>
      <c r="V703">
        <f t="shared" si="60"/>
        <v>108</v>
      </c>
      <c r="W703" s="5">
        <f t="shared" si="61"/>
        <v>878</v>
      </c>
      <c r="X703" s="9" t="str">
        <f t="shared" si="62"/>
        <v>h878</v>
      </c>
    </row>
    <row r="704" spans="1:24" x14ac:dyDescent="0.2">
      <c r="A704" s="9" t="s">
        <v>425</v>
      </c>
      <c r="B704" s="9">
        <v>1</v>
      </c>
      <c r="C704" s="17">
        <v>11</v>
      </c>
      <c r="D704" s="20"/>
      <c r="E704" s="18">
        <v>45243</v>
      </c>
      <c r="F704" s="18" t="s">
        <v>364</v>
      </c>
      <c r="G704" s="20" t="s">
        <v>133</v>
      </c>
      <c r="H704" s="19">
        <v>1</v>
      </c>
      <c r="I704" s="20" t="s">
        <v>271</v>
      </c>
      <c r="J704" s="34">
        <v>45238</v>
      </c>
      <c r="K704" s="19">
        <v>0.83</v>
      </c>
      <c r="L704" s="20">
        <f t="shared" si="59"/>
        <v>713</v>
      </c>
      <c r="M704" s="4">
        <f>IF(Table3[[#This Row],[Afrondingsdatum YB]]="N/A","-",Table3[[#This Row],[Afrondingsdatum YB]]-Table3[[#This Row],[StartDatum]])</f>
        <v>45238</v>
      </c>
      <c r="N704" s="4"/>
      <c r="O704">
        <f t="shared" si="60"/>
        <v>116</v>
      </c>
      <c r="P704">
        <f t="shared" si="60"/>
        <v>121</v>
      </c>
      <c r="Q704">
        <f t="shared" si="60"/>
        <v>108</v>
      </c>
      <c r="R704">
        <f t="shared" si="60"/>
        <v>101</v>
      </c>
      <c r="S704">
        <f t="shared" si="60"/>
        <v>114</v>
      </c>
      <c r="T704">
        <f t="shared" si="60"/>
        <v>46</v>
      </c>
      <c r="U704">
        <f t="shared" si="60"/>
        <v>107</v>
      </c>
      <c r="V704">
        <f t="shared" si="60"/>
        <v>111</v>
      </c>
      <c r="W704" s="5">
        <f t="shared" si="61"/>
        <v>904</v>
      </c>
      <c r="X704" s="9" t="str">
        <f t="shared" si="62"/>
        <v>y904</v>
      </c>
    </row>
    <row r="705" spans="1:24" x14ac:dyDescent="0.2">
      <c r="A705" s="9" t="s">
        <v>425</v>
      </c>
      <c r="B705" s="9">
        <v>1</v>
      </c>
      <c r="C705" s="17">
        <v>11</v>
      </c>
      <c r="D705" s="20"/>
      <c r="E705" s="23">
        <v>45243</v>
      </c>
      <c r="F705" s="23" t="s">
        <v>364</v>
      </c>
      <c r="G705" s="25" t="s">
        <v>65</v>
      </c>
      <c r="H705" s="24">
        <v>1</v>
      </c>
      <c r="I705" s="25" t="s">
        <v>144</v>
      </c>
      <c r="J705" s="32">
        <v>45231</v>
      </c>
      <c r="K705" s="24">
        <v>0.93</v>
      </c>
      <c r="L705" s="25">
        <f t="shared" si="59"/>
        <v>711</v>
      </c>
      <c r="M705" s="4">
        <f>IF(Table3[[#This Row],[Afrondingsdatum YB]]="N/A","-",Table3[[#This Row],[Afrondingsdatum YB]]-Table3[[#This Row],[StartDatum]])</f>
        <v>45231</v>
      </c>
      <c r="N705" s="4"/>
      <c r="O705">
        <f t="shared" si="60"/>
        <v>119</v>
      </c>
      <c r="P705">
        <f t="shared" si="60"/>
        <v>101</v>
      </c>
      <c r="Q705">
        <f t="shared" si="60"/>
        <v>115</v>
      </c>
      <c r="R705">
        <f t="shared" si="60"/>
        <v>108</v>
      </c>
      <c r="S705">
        <f t="shared" si="60"/>
        <v>101</v>
      </c>
      <c r="T705">
        <f t="shared" si="60"/>
        <v>121</v>
      </c>
      <c r="U705">
        <f t="shared" si="60"/>
        <v>46</v>
      </c>
      <c r="V705">
        <f t="shared" si="60"/>
        <v>99</v>
      </c>
      <c r="W705" s="5">
        <f t="shared" si="61"/>
        <v>909</v>
      </c>
      <c r="X705" s="9" t="str">
        <f t="shared" si="62"/>
        <v>e909</v>
      </c>
    </row>
    <row r="706" spans="1:24" x14ac:dyDescent="0.2">
      <c r="A706" s="9" t="s">
        <v>425</v>
      </c>
      <c r="B706" s="9">
        <v>1</v>
      </c>
      <c r="C706" s="17">
        <v>11</v>
      </c>
      <c r="D706" s="20"/>
      <c r="E706" s="18">
        <v>45243</v>
      </c>
      <c r="F706" s="18" t="s">
        <v>364</v>
      </c>
      <c r="G706" s="20" t="s">
        <v>66</v>
      </c>
      <c r="H706" s="19">
        <v>0.85</v>
      </c>
      <c r="I706" s="20" t="s">
        <v>182</v>
      </c>
      <c r="J706" s="20" t="s">
        <v>7</v>
      </c>
      <c r="K706" s="20" t="s">
        <v>9</v>
      </c>
      <c r="L706" s="20">
        <f t="shared" ref="L706:L769" si="63">SUM(O706:U706)</f>
        <v>697</v>
      </c>
      <c r="M706" s="4" t="str">
        <f>IF(Table3[[#This Row],[Afrondingsdatum YB]]="N/A","-",Table3[[#This Row],[Afrondingsdatum YB]]-Table3[[#This Row],[StartDatum]])</f>
        <v>-</v>
      </c>
      <c r="N706" s="4"/>
      <c r="O706">
        <f t="shared" si="60"/>
        <v>121</v>
      </c>
      <c r="P706">
        <f t="shared" si="60"/>
        <v>97</v>
      </c>
      <c r="Q706">
        <f t="shared" si="60"/>
        <v>115</v>
      </c>
      <c r="R706">
        <f t="shared" si="60"/>
        <v>105</v>
      </c>
      <c r="S706">
        <f t="shared" si="60"/>
        <v>110</v>
      </c>
      <c r="T706">
        <f t="shared" si="60"/>
        <v>46</v>
      </c>
      <c r="U706">
        <f t="shared" si="60"/>
        <v>103</v>
      </c>
      <c r="V706">
        <f t="shared" ref="P706:V743" si="64">CODE(MID($G706,V$1,1))</f>
        <v>111</v>
      </c>
      <c r="W706" s="5">
        <f t="shared" si="61"/>
        <v>911</v>
      </c>
      <c r="X706" s="9" t="str">
        <f t="shared" si="62"/>
        <v>a911</v>
      </c>
    </row>
    <row r="707" spans="1:24" x14ac:dyDescent="0.2">
      <c r="A707" s="9" t="s">
        <v>425</v>
      </c>
      <c r="B707" s="9">
        <v>1</v>
      </c>
      <c r="C707" s="17">
        <v>11</v>
      </c>
      <c r="D707" s="20"/>
      <c r="E707" s="23">
        <v>45243</v>
      </c>
      <c r="F707" s="23" t="s">
        <v>364</v>
      </c>
      <c r="G707" s="25" t="s">
        <v>67</v>
      </c>
      <c r="H707" s="24">
        <v>1</v>
      </c>
      <c r="I707" s="25" t="s">
        <v>153</v>
      </c>
      <c r="J707" s="32">
        <v>45217</v>
      </c>
      <c r="K707" s="24">
        <v>0.73</v>
      </c>
      <c r="L707" s="25">
        <f t="shared" si="63"/>
        <v>764</v>
      </c>
      <c r="M707" s="4">
        <f>IF(Table3[[#This Row],[Afrondingsdatum YB]]="N/A","-",Table3[[#This Row],[Afrondingsdatum YB]]-Table3[[#This Row],[StartDatum]])</f>
        <v>45217</v>
      </c>
      <c r="N707" s="4"/>
      <c r="O707">
        <f t="shared" ref="O707:O770" si="65">CODE(MID($G707,O$1,1))</f>
        <v>121</v>
      </c>
      <c r="P707">
        <f t="shared" si="64"/>
        <v>97</v>
      </c>
      <c r="Q707">
        <f t="shared" si="64"/>
        <v>115</v>
      </c>
      <c r="R707">
        <f t="shared" si="64"/>
        <v>115</v>
      </c>
      <c r="S707">
        <f t="shared" si="64"/>
        <v>105</v>
      </c>
      <c r="T707">
        <f t="shared" si="64"/>
        <v>110</v>
      </c>
      <c r="U707">
        <f t="shared" si="64"/>
        <v>101</v>
      </c>
      <c r="V707">
        <f t="shared" si="64"/>
        <v>46</v>
      </c>
      <c r="W707" s="5">
        <f t="shared" si="61"/>
        <v>905</v>
      </c>
      <c r="X707" s="9" t="str">
        <f t="shared" si="62"/>
        <v>a905</v>
      </c>
    </row>
    <row r="708" spans="1:24" x14ac:dyDescent="0.2">
      <c r="A708" s="9" t="s">
        <v>425</v>
      </c>
      <c r="B708" s="9">
        <v>1</v>
      </c>
      <c r="C708" s="17">
        <v>11</v>
      </c>
      <c r="D708" s="20"/>
      <c r="E708" s="18">
        <v>45243</v>
      </c>
      <c r="F708" s="18" t="s">
        <v>363</v>
      </c>
      <c r="G708" s="20" t="s">
        <v>68</v>
      </c>
      <c r="H708" s="19">
        <v>1</v>
      </c>
      <c r="I708" s="20" t="s">
        <v>253</v>
      </c>
      <c r="J708" s="34">
        <v>45229</v>
      </c>
      <c r="K708" s="19">
        <v>0.75</v>
      </c>
      <c r="L708" s="20">
        <f t="shared" si="63"/>
        <v>721</v>
      </c>
      <c r="M708" s="4">
        <f>IF(Table3[[#This Row],[Afrondingsdatum YB]]="N/A","-",Table3[[#This Row],[Afrondingsdatum YB]]-Table3[[#This Row],[StartDatum]])</f>
        <v>45229</v>
      </c>
      <c r="N708" s="4"/>
      <c r="O708">
        <f t="shared" si="65"/>
        <v>121</v>
      </c>
      <c r="P708">
        <f t="shared" si="64"/>
        <v>111</v>
      </c>
      <c r="Q708">
        <f t="shared" si="64"/>
        <v>117</v>
      </c>
      <c r="R708">
        <f t="shared" si="64"/>
        <v>114</v>
      </c>
      <c r="S708">
        <f t="shared" si="64"/>
        <v>105</v>
      </c>
      <c r="T708">
        <f t="shared" si="64"/>
        <v>46</v>
      </c>
      <c r="U708">
        <f t="shared" si="64"/>
        <v>107</v>
      </c>
      <c r="V708">
        <f t="shared" si="64"/>
        <v>101</v>
      </c>
      <c r="W708" s="5">
        <f t="shared" si="61"/>
        <v>915</v>
      </c>
      <c r="X708" s="9" t="str">
        <f t="shared" si="62"/>
        <v>o915</v>
      </c>
    </row>
    <row r="709" spans="1:24" x14ac:dyDescent="0.2">
      <c r="A709" s="9" t="s">
        <v>425</v>
      </c>
      <c r="B709" s="9">
        <v>1</v>
      </c>
      <c r="C709" s="22">
        <v>12</v>
      </c>
      <c r="D709" s="25"/>
      <c r="E709" s="23">
        <v>45250</v>
      </c>
      <c r="F709" s="23" t="s">
        <v>363</v>
      </c>
      <c r="G709" s="25" t="s">
        <v>10</v>
      </c>
      <c r="H709" s="24">
        <v>1</v>
      </c>
      <c r="I709" s="25" t="s">
        <v>110</v>
      </c>
      <c r="J709" s="32">
        <v>45197</v>
      </c>
      <c r="K709" s="24">
        <v>0.98</v>
      </c>
      <c r="L709" s="25">
        <f t="shared" si="63"/>
        <v>662</v>
      </c>
      <c r="M709" s="4">
        <f>IF(Table3[[#This Row],[Afrondingsdatum YB]]="N/A","-",Table3[[#This Row],[Afrondingsdatum YB]]-Table3[[#This Row],[StartDatum]])</f>
        <v>45197</v>
      </c>
      <c r="N709" s="4"/>
      <c r="O709">
        <f t="shared" si="65"/>
        <v>97</v>
      </c>
      <c r="P709">
        <f t="shared" si="64"/>
        <v>100</v>
      </c>
      <c r="Q709">
        <f t="shared" si="64"/>
        <v>97</v>
      </c>
      <c r="R709">
        <f t="shared" si="64"/>
        <v>109</v>
      </c>
      <c r="S709">
        <f t="shared" si="64"/>
        <v>46</v>
      </c>
      <c r="T709">
        <f t="shared" si="64"/>
        <v>97</v>
      </c>
      <c r="U709">
        <f t="shared" si="64"/>
        <v>116</v>
      </c>
      <c r="V709">
        <f t="shared" si="64"/>
        <v>116</v>
      </c>
      <c r="W709" s="5">
        <f t="shared" si="61"/>
        <v>840</v>
      </c>
      <c r="X709" s="9" t="str">
        <f t="shared" si="62"/>
        <v>d840</v>
      </c>
    </row>
    <row r="710" spans="1:24" x14ac:dyDescent="0.2">
      <c r="A710" s="9" t="s">
        <v>425</v>
      </c>
      <c r="B710" s="9">
        <v>1</v>
      </c>
      <c r="C710" s="22">
        <v>12</v>
      </c>
      <c r="D710" s="25"/>
      <c r="E710" s="18">
        <v>45250</v>
      </c>
      <c r="F710" s="18" t="s">
        <v>362</v>
      </c>
      <c r="G710" s="20" t="s">
        <v>11</v>
      </c>
      <c r="H710" s="19">
        <v>0.03</v>
      </c>
      <c r="I710" s="20" t="s">
        <v>111</v>
      </c>
      <c r="J710" s="20" t="s">
        <v>7</v>
      </c>
      <c r="K710" s="20" t="s">
        <v>9</v>
      </c>
      <c r="L710" s="20">
        <f t="shared" si="63"/>
        <v>641</v>
      </c>
      <c r="M710" s="4" t="str">
        <f>IF(Table3[[#This Row],[Afrondingsdatum YB]]="N/A","-",Table3[[#This Row],[Afrondingsdatum YB]]-Table3[[#This Row],[StartDatum]])</f>
        <v>-</v>
      </c>
      <c r="N710" s="4"/>
      <c r="O710">
        <f t="shared" si="65"/>
        <v>65</v>
      </c>
      <c r="P710">
        <f t="shared" si="64"/>
        <v>100</v>
      </c>
      <c r="Q710">
        <f t="shared" si="64"/>
        <v>105</v>
      </c>
      <c r="R710">
        <f t="shared" si="64"/>
        <v>108</v>
      </c>
      <c r="S710">
        <f t="shared" si="64"/>
        <v>46</v>
      </c>
      <c r="T710">
        <f t="shared" si="64"/>
        <v>106</v>
      </c>
      <c r="U710">
        <f t="shared" si="64"/>
        <v>111</v>
      </c>
      <c r="V710">
        <f t="shared" si="64"/>
        <v>117</v>
      </c>
      <c r="W710" s="5">
        <f t="shared" si="61"/>
        <v>837</v>
      </c>
      <c r="X710" s="9" t="str">
        <f t="shared" si="62"/>
        <v>d837</v>
      </c>
    </row>
    <row r="711" spans="1:24" x14ac:dyDescent="0.2">
      <c r="A711" s="9" t="s">
        <v>425</v>
      </c>
      <c r="B711" s="9">
        <v>1</v>
      </c>
      <c r="C711" s="22">
        <v>12</v>
      </c>
      <c r="D711" s="25"/>
      <c r="E711" s="23">
        <v>45250</v>
      </c>
      <c r="F711" s="23" t="s">
        <v>364</v>
      </c>
      <c r="G711" s="25" t="s">
        <v>12</v>
      </c>
      <c r="H711" s="24">
        <v>1</v>
      </c>
      <c r="I711" s="25" t="s">
        <v>140</v>
      </c>
      <c r="J711" s="32">
        <v>45219</v>
      </c>
      <c r="K711" s="24">
        <v>0.73</v>
      </c>
      <c r="L711" s="25">
        <f t="shared" si="63"/>
        <v>677</v>
      </c>
      <c r="M711" s="4">
        <f>IF(Table3[[#This Row],[Afrondingsdatum YB]]="N/A","-",Table3[[#This Row],[Afrondingsdatum YB]]-Table3[[#This Row],[StartDatum]])</f>
        <v>45219</v>
      </c>
      <c r="N711" s="4"/>
      <c r="O711">
        <f t="shared" si="65"/>
        <v>97</v>
      </c>
      <c r="P711">
        <f t="shared" si="64"/>
        <v>103</v>
      </c>
      <c r="Q711">
        <f t="shared" si="64"/>
        <v>104</v>
      </c>
      <c r="R711">
        <f t="shared" si="64"/>
        <v>105</v>
      </c>
      <c r="S711">
        <f t="shared" si="64"/>
        <v>108</v>
      </c>
      <c r="T711">
        <f t="shared" si="64"/>
        <v>46</v>
      </c>
      <c r="U711">
        <f t="shared" si="64"/>
        <v>114</v>
      </c>
      <c r="V711">
        <f t="shared" si="64"/>
        <v>101</v>
      </c>
      <c r="W711" s="5">
        <f t="shared" si="61"/>
        <v>856</v>
      </c>
      <c r="X711" s="9" t="str">
        <f t="shared" si="62"/>
        <v>g856</v>
      </c>
    </row>
    <row r="712" spans="1:24" x14ac:dyDescent="0.2">
      <c r="A712" s="9" t="s">
        <v>425</v>
      </c>
      <c r="B712" s="9">
        <v>1</v>
      </c>
      <c r="C712" s="22">
        <v>12</v>
      </c>
      <c r="D712" s="25"/>
      <c r="E712" s="18">
        <v>45250</v>
      </c>
      <c r="F712" s="18" t="s">
        <v>362</v>
      </c>
      <c r="G712" s="20" t="s">
        <v>113</v>
      </c>
      <c r="H712" s="19">
        <v>0.76</v>
      </c>
      <c r="I712" s="20" t="s">
        <v>254</v>
      </c>
      <c r="J712" s="20" t="s">
        <v>7</v>
      </c>
      <c r="K712" s="20" t="s">
        <v>9</v>
      </c>
      <c r="L712" s="20">
        <f t="shared" si="63"/>
        <v>670</v>
      </c>
      <c r="M712" s="4" t="str">
        <f>IF(Table3[[#This Row],[Afrondingsdatum YB]]="N/A","-",Table3[[#This Row],[Afrondingsdatum YB]]-Table3[[#This Row],[StartDatum]])</f>
        <v>-</v>
      </c>
      <c r="N712" s="4"/>
      <c r="O712">
        <f t="shared" si="65"/>
        <v>97</v>
      </c>
      <c r="P712">
        <f t="shared" si="64"/>
        <v>109</v>
      </c>
      <c r="Q712">
        <f t="shared" si="64"/>
        <v>105</v>
      </c>
      <c r="R712">
        <f t="shared" si="64"/>
        <v>110</v>
      </c>
      <c r="S712">
        <f t="shared" si="64"/>
        <v>46</v>
      </c>
      <c r="T712">
        <f t="shared" si="64"/>
        <v>99</v>
      </c>
      <c r="U712">
        <f t="shared" si="64"/>
        <v>104</v>
      </c>
      <c r="V712">
        <f t="shared" si="64"/>
        <v>101</v>
      </c>
      <c r="W712" s="5">
        <f t="shared" si="61"/>
        <v>844</v>
      </c>
      <c r="X712" s="9" t="str">
        <f t="shared" si="62"/>
        <v>m844</v>
      </c>
    </row>
    <row r="713" spans="1:24" x14ac:dyDescent="0.2">
      <c r="A713" s="9" t="s">
        <v>425</v>
      </c>
      <c r="B713" s="9">
        <v>1</v>
      </c>
      <c r="C713" s="22">
        <v>12</v>
      </c>
      <c r="D713" s="25"/>
      <c r="E713" s="23">
        <v>45250</v>
      </c>
      <c r="F713" s="23" t="s">
        <v>364</v>
      </c>
      <c r="G713" s="25" t="s">
        <v>13</v>
      </c>
      <c r="H713" s="24">
        <v>1</v>
      </c>
      <c r="I713" s="25" t="s">
        <v>97</v>
      </c>
      <c r="J713" s="25" t="s">
        <v>7</v>
      </c>
      <c r="K713" s="25" t="s">
        <v>236</v>
      </c>
      <c r="L713" s="25">
        <f t="shared" si="63"/>
        <v>669</v>
      </c>
      <c r="M713" s="4" t="str">
        <f>IF(Table3[[#This Row],[Afrondingsdatum YB]]="N/A","-",Table3[[#This Row],[Afrondingsdatum YB]]-Table3[[#This Row],[StartDatum]])</f>
        <v>-</v>
      </c>
      <c r="N713" s="4"/>
      <c r="O713">
        <f t="shared" si="65"/>
        <v>97</v>
      </c>
      <c r="P713">
        <f t="shared" si="64"/>
        <v>109</v>
      </c>
      <c r="Q713">
        <f t="shared" si="64"/>
        <v>105</v>
      </c>
      <c r="R713">
        <f t="shared" si="64"/>
        <v>110</v>
      </c>
      <c r="S713">
        <f t="shared" si="64"/>
        <v>101</v>
      </c>
      <c r="T713">
        <f t="shared" si="64"/>
        <v>46</v>
      </c>
      <c r="U713">
        <f t="shared" si="64"/>
        <v>101</v>
      </c>
      <c r="V713">
        <f t="shared" si="64"/>
        <v>108</v>
      </c>
      <c r="W713" s="5">
        <f t="shared" si="61"/>
        <v>850</v>
      </c>
      <c r="X713" s="9" t="str">
        <f t="shared" si="62"/>
        <v>m850</v>
      </c>
    </row>
    <row r="714" spans="1:24" x14ac:dyDescent="0.2">
      <c r="A714" s="9" t="s">
        <v>425</v>
      </c>
      <c r="B714" s="9">
        <v>1</v>
      </c>
      <c r="C714" s="22">
        <v>12</v>
      </c>
      <c r="D714" s="25"/>
      <c r="E714" s="18">
        <v>45250</v>
      </c>
      <c r="F714" s="18" t="s">
        <v>363</v>
      </c>
      <c r="G714" s="20" t="s">
        <v>14</v>
      </c>
      <c r="H714" s="19">
        <v>0.68</v>
      </c>
      <c r="I714" s="20" t="s">
        <v>166</v>
      </c>
      <c r="J714" s="20" t="s">
        <v>7</v>
      </c>
      <c r="K714" s="20" t="s">
        <v>9</v>
      </c>
      <c r="L714" s="20">
        <f t="shared" si="63"/>
        <v>676</v>
      </c>
      <c r="M714" s="4" t="str">
        <f>IF(Table3[[#This Row],[Afrondingsdatum YB]]="N/A","-",Table3[[#This Row],[Afrondingsdatum YB]]-Table3[[#This Row],[StartDatum]])</f>
        <v>-</v>
      </c>
      <c r="N714" s="4"/>
      <c r="O714">
        <f t="shared" si="65"/>
        <v>97</v>
      </c>
      <c r="P714">
        <f t="shared" si="64"/>
        <v>110</v>
      </c>
      <c r="Q714">
        <f t="shared" si="64"/>
        <v>103</v>
      </c>
      <c r="R714">
        <f t="shared" si="64"/>
        <v>101</v>
      </c>
      <c r="S714">
        <f t="shared" si="64"/>
        <v>108</v>
      </c>
      <c r="T714">
        <f t="shared" si="64"/>
        <v>111</v>
      </c>
      <c r="U714">
        <f t="shared" si="64"/>
        <v>46</v>
      </c>
      <c r="V714">
        <f t="shared" si="64"/>
        <v>115</v>
      </c>
      <c r="W714" s="5">
        <f t="shared" si="61"/>
        <v>866</v>
      </c>
      <c r="X714" s="9" t="str">
        <f t="shared" si="62"/>
        <v>n866</v>
      </c>
    </row>
    <row r="715" spans="1:24" x14ac:dyDescent="0.2">
      <c r="A715" s="9" t="s">
        <v>425</v>
      </c>
      <c r="B715" s="9">
        <v>1</v>
      </c>
      <c r="C715" s="22">
        <v>12</v>
      </c>
      <c r="D715" s="25"/>
      <c r="E715" s="23">
        <v>45250</v>
      </c>
      <c r="F715" s="23" t="s">
        <v>362</v>
      </c>
      <c r="G715" s="25" t="s">
        <v>15</v>
      </c>
      <c r="H715" s="24">
        <v>1</v>
      </c>
      <c r="I715" s="25" t="s">
        <v>215</v>
      </c>
      <c r="J715" s="32">
        <v>45238</v>
      </c>
      <c r="K715" s="24">
        <v>0.75</v>
      </c>
      <c r="L715" s="25">
        <f t="shared" si="63"/>
        <v>755</v>
      </c>
      <c r="M715" s="4">
        <f>IF(Table3[[#This Row],[Afrondingsdatum YB]]="N/A","-",Table3[[#This Row],[Afrondingsdatum YB]]-Table3[[#This Row],[StartDatum]])</f>
        <v>45238</v>
      </c>
      <c r="N715" s="4"/>
      <c r="O715">
        <f t="shared" si="65"/>
        <v>97</v>
      </c>
      <c r="P715">
        <f t="shared" si="64"/>
        <v>115</v>
      </c>
      <c r="Q715">
        <f t="shared" si="64"/>
        <v>104</v>
      </c>
      <c r="R715">
        <f t="shared" si="64"/>
        <v>111</v>
      </c>
      <c r="S715">
        <f t="shared" si="64"/>
        <v>101</v>
      </c>
      <c r="T715">
        <f t="shared" si="64"/>
        <v>116</v>
      </c>
      <c r="U715">
        <f t="shared" si="64"/>
        <v>111</v>
      </c>
      <c r="V715">
        <f t="shared" si="64"/>
        <v>115</v>
      </c>
      <c r="W715" s="5">
        <f t="shared" si="61"/>
        <v>937</v>
      </c>
      <c r="X715" s="9" t="str">
        <f t="shared" si="62"/>
        <v>s937</v>
      </c>
    </row>
    <row r="716" spans="1:24" x14ac:dyDescent="0.2">
      <c r="A716" s="9" t="s">
        <v>425</v>
      </c>
      <c r="B716" s="9">
        <v>1</v>
      </c>
      <c r="C716" s="22">
        <v>12</v>
      </c>
      <c r="D716" s="25"/>
      <c r="E716" s="18">
        <v>45250</v>
      </c>
      <c r="F716" s="18" t="s">
        <v>364</v>
      </c>
      <c r="G716" s="20" t="s">
        <v>16</v>
      </c>
      <c r="H716" s="19">
        <v>1</v>
      </c>
      <c r="I716" s="20" t="s">
        <v>255</v>
      </c>
      <c r="J716" s="34">
        <v>45236</v>
      </c>
      <c r="K716" s="19">
        <v>0.85</v>
      </c>
      <c r="L716" s="20">
        <f t="shared" si="63"/>
        <v>672</v>
      </c>
      <c r="M716" s="4">
        <f>IF(Table3[[#This Row],[Afrondingsdatum YB]]="N/A","-",Table3[[#This Row],[Afrondingsdatum YB]]-Table3[[#This Row],[StartDatum]])</f>
        <v>45236</v>
      </c>
      <c r="N716" s="4"/>
      <c r="O716">
        <f t="shared" si="65"/>
        <v>97</v>
      </c>
      <c r="P716">
        <f t="shared" si="64"/>
        <v>121</v>
      </c>
      <c r="Q716">
        <f t="shared" si="64"/>
        <v>100</v>
      </c>
      <c r="R716">
        <f t="shared" si="64"/>
        <v>101</v>
      </c>
      <c r="S716">
        <f t="shared" si="64"/>
        <v>110</v>
      </c>
      <c r="T716">
        <f t="shared" si="64"/>
        <v>46</v>
      </c>
      <c r="U716">
        <f t="shared" si="64"/>
        <v>97</v>
      </c>
      <c r="V716">
        <f t="shared" si="64"/>
        <v>110</v>
      </c>
      <c r="W716" s="5">
        <f t="shared" si="61"/>
        <v>846</v>
      </c>
      <c r="X716" s="9" t="str">
        <f t="shared" si="62"/>
        <v>y846</v>
      </c>
    </row>
    <row r="717" spans="1:24" x14ac:dyDescent="0.2">
      <c r="A717" s="9" t="s">
        <v>425</v>
      </c>
      <c r="B717" s="9">
        <v>1</v>
      </c>
      <c r="C717" s="22">
        <v>12</v>
      </c>
      <c r="D717" s="25"/>
      <c r="E717" s="23">
        <v>45250</v>
      </c>
      <c r="F717" s="23" t="s">
        <v>362</v>
      </c>
      <c r="G717" s="25" t="s">
        <v>17</v>
      </c>
      <c r="H717" s="24">
        <v>1</v>
      </c>
      <c r="I717" s="25" t="s">
        <v>256</v>
      </c>
      <c r="J717" s="32">
        <v>45240</v>
      </c>
      <c r="K717" s="24">
        <v>0.75</v>
      </c>
      <c r="L717" s="25">
        <f t="shared" si="63"/>
        <v>707</v>
      </c>
      <c r="M717" s="4">
        <f>IF(Table3[[#This Row],[Afrondingsdatum YB]]="N/A","-",Table3[[#This Row],[Afrondingsdatum YB]]-Table3[[#This Row],[StartDatum]])</f>
        <v>45240</v>
      </c>
      <c r="N717" s="4"/>
      <c r="O717">
        <f t="shared" si="65"/>
        <v>98</v>
      </c>
      <c r="P717">
        <f t="shared" si="64"/>
        <v>101</v>
      </c>
      <c r="Q717">
        <f t="shared" si="64"/>
        <v>116</v>
      </c>
      <c r="R717">
        <f t="shared" si="64"/>
        <v>117</v>
      </c>
      <c r="S717">
        <f t="shared" si="64"/>
        <v>108</v>
      </c>
      <c r="T717">
        <f t="shared" si="64"/>
        <v>46</v>
      </c>
      <c r="U717">
        <f t="shared" si="64"/>
        <v>121</v>
      </c>
      <c r="V717">
        <f t="shared" si="64"/>
        <v>117</v>
      </c>
      <c r="W717" s="5">
        <f t="shared" si="61"/>
        <v>918</v>
      </c>
      <c r="X717" s="9" t="str">
        <f t="shared" si="62"/>
        <v>e918</v>
      </c>
    </row>
    <row r="718" spans="1:24" x14ac:dyDescent="0.2">
      <c r="A718" s="9" t="s">
        <v>425</v>
      </c>
      <c r="B718" s="9">
        <v>1</v>
      </c>
      <c r="C718" s="22">
        <v>12</v>
      </c>
      <c r="D718" s="25"/>
      <c r="E718" s="18">
        <v>45250</v>
      </c>
      <c r="F718" s="18" t="s">
        <v>364</v>
      </c>
      <c r="G718" s="20" t="s">
        <v>115</v>
      </c>
      <c r="H718" s="19">
        <v>1</v>
      </c>
      <c r="I718" s="20" t="s">
        <v>167</v>
      </c>
      <c r="J718" s="34">
        <v>45237</v>
      </c>
      <c r="K718" s="19">
        <v>0.78</v>
      </c>
      <c r="L718" s="20">
        <f t="shared" si="63"/>
        <v>748</v>
      </c>
      <c r="M718" s="4">
        <f>IF(Table3[[#This Row],[Afrondingsdatum YB]]="N/A","-",Table3[[#This Row],[Afrondingsdatum YB]]-Table3[[#This Row],[StartDatum]])</f>
        <v>45237</v>
      </c>
      <c r="N718" s="4"/>
      <c r="O718">
        <f t="shared" si="65"/>
        <v>98</v>
      </c>
      <c r="P718">
        <f t="shared" si="64"/>
        <v>106</v>
      </c>
      <c r="Q718">
        <f t="shared" si="64"/>
        <v>111</v>
      </c>
      <c r="R718">
        <f t="shared" si="64"/>
        <v>114</v>
      </c>
      <c r="S718">
        <f t="shared" si="64"/>
        <v>110</v>
      </c>
      <c r="T718">
        <f t="shared" si="64"/>
        <v>108</v>
      </c>
      <c r="U718">
        <f t="shared" si="64"/>
        <v>101</v>
      </c>
      <c r="V718">
        <f t="shared" si="64"/>
        <v>118</v>
      </c>
      <c r="W718" s="5">
        <f t="shared" si="61"/>
        <v>950</v>
      </c>
      <c r="X718" s="9" t="str">
        <f t="shared" si="62"/>
        <v>j950</v>
      </c>
    </row>
    <row r="719" spans="1:24" x14ac:dyDescent="0.2">
      <c r="A719" s="9" t="s">
        <v>425</v>
      </c>
      <c r="B719" s="9">
        <v>1</v>
      </c>
      <c r="C719" s="22">
        <v>12</v>
      </c>
      <c r="D719" s="25"/>
      <c r="E719" s="23">
        <v>45250</v>
      </c>
      <c r="F719" s="23" t="s">
        <v>363</v>
      </c>
      <c r="G719" s="25" t="s">
        <v>18</v>
      </c>
      <c r="H719" s="24">
        <v>1</v>
      </c>
      <c r="I719" s="25" t="s">
        <v>202</v>
      </c>
      <c r="J719" s="32">
        <v>45227</v>
      </c>
      <c r="K719" s="24">
        <v>0.73</v>
      </c>
      <c r="L719" s="25">
        <f t="shared" si="63"/>
        <v>687</v>
      </c>
      <c r="M719" s="4">
        <f>IF(Table3[[#This Row],[Afrondingsdatum YB]]="N/A","-",Table3[[#This Row],[Afrondingsdatum YB]]-Table3[[#This Row],[StartDatum]])</f>
        <v>45227</v>
      </c>
      <c r="N719" s="4"/>
      <c r="O719">
        <f t="shared" si="65"/>
        <v>98</v>
      </c>
      <c r="P719">
        <f t="shared" si="64"/>
        <v>114</v>
      </c>
      <c r="Q719">
        <f t="shared" si="64"/>
        <v>101</v>
      </c>
      <c r="R719">
        <f t="shared" si="64"/>
        <v>116</v>
      </c>
      <c r="S719">
        <f t="shared" si="64"/>
        <v>104</v>
      </c>
      <c r="T719">
        <f t="shared" si="64"/>
        <v>46</v>
      </c>
      <c r="U719">
        <f t="shared" si="64"/>
        <v>108</v>
      </c>
      <c r="V719">
        <f t="shared" si="64"/>
        <v>97</v>
      </c>
      <c r="W719" s="5">
        <f t="shared" si="61"/>
        <v>842</v>
      </c>
      <c r="X719" s="9" t="str">
        <f t="shared" si="62"/>
        <v>r842</v>
      </c>
    </row>
    <row r="720" spans="1:24" x14ac:dyDescent="0.2">
      <c r="A720" s="9" t="s">
        <v>425</v>
      </c>
      <c r="B720" s="9">
        <v>1</v>
      </c>
      <c r="C720" s="22">
        <v>12</v>
      </c>
      <c r="D720" s="25"/>
      <c r="E720" s="18">
        <v>45250</v>
      </c>
      <c r="F720" s="18" t="s">
        <v>364</v>
      </c>
      <c r="G720" s="20" t="s">
        <v>19</v>
      </c>
      <c r="H720" s="19">
        <v>1</v>
      </c>
      <c r="I720" s="20" t="s">
        <v>170</v>
      </c>
      <c r="J720" s="34">
        <v>45212</v>
      </c>
      <c r="K720" s="19">
        <v>0.83</v>
      </c>
      <c r="L720" s="20">
        <f t="shared" si="63"/>
        <v>733</v>
      </c>
      <c r="M720" s="4">
        <f>IF(Table3[[#This Row],[Afrondingsdatum YB]]="N/A","-",Table3[[#This Row],[Afrondingsdatum YB]]-Table3[[#This Row],[StartDatum]])</f>
        <v>45212</v>
      </c>
      <c r="N720" s="4"/>
      <c r="O720">
        <f t="shared" si="65"/>
        <v>99</v>
      </c>
      <c r="P720">
        <f t="shared" si="64"/>
        <v>104</v>
      </c>
      <c r="Q720">
        <f t="shared" si="64"/>
        <v>97</v>
      </c>
      <c r="R720">
        <f t="shared" si="64"/>
        <v>114</v>
      </c>
      <c r="S720">
        <f t="shared" si="64"/>
        <v>108</v>
      </c>
      <c r="T720">
        <f t="shared" si="64"/>
        <v>101</v>
      </c>
      <c r="U720">
        <f t="shared" si="64"/>
        <v>110</v>
      </c>
      <c r="V720">
        <f t="shared" si="64"/>
        <v>101</v>
      </c>
      <c r="W720" s="5">
        <f t="shared" si="61"/>
        <v>891</v>
      </c>
      <c r="X720" s="9" t="str">
        <f t="shared" si="62"/>
        <v>h891</v>
      </c>
    </row>
    <row r="721" spans="1:24" x14ac:dyDescent="0.2">
      <c r="A721" s="9" t="s">
        <v>425</v>
      </c>
      <c r="B721" s="9">
        <v>1</v>
      </c>
      <c r="C721" s="22">
        <v>12</v>
      </c>
      <c r="D721" s="25"/>
      <c r="E721" s="23">
        <v>45250</v>
      </c>
      <c r="F721" s="23" t="s">
        <v>364</v>
      </c>
      <c r="G721" s="25" t="s">
        <v>20</v>
      </c>
      <c r="H721" s="24">
        <v>1</v>
      </c>
      <c r="I721" s="25" t="s">
        <v>171</v>
      </c>
      <c r="J721" s="32">
        <v>45209</v>
      </c>
      <c r="K721" s="24">
        <v>0.83</v>
      </c>
      <c r="L721" s="25">
        <f t="shared" si="63"/>
        <v>668</v>
      </c>
      <c r="M721" s="4">
        <f>IF(Table3[[#This Row],[Afrondingsdatum YB]]="N/A","-",Table3[[#This Row],[Afrondingsdatum YB]]-Table3[[#This Row],[StartDatum]])</f>
        <v>45209</v>
      </c>
      <c r="N721" s="4"/>
      <c r="O721">
        <f t="shared" si="65"/>
        <v>99</v>
      </c>
      <c r="P721">
        <f t="shared" si="64"/>
        <v>104</v>
      </c>
      <c r="Q721">
        <f t="shared" si="64"/>
        <v>101</v>
      </c>
      <c r="R721">
        <f t="shared" si="64"/>
        <v>110</v>
      </c>
      <c r="S721">
        <f t="shared" si="64"/>
        <v>111</v>
      </c>
      <c r="T721">
        <f t="shared" si="64"/>
        <v>97</v>
      </c>
      <c r="U721">
        <f t="shared" si="64"/>
        <v>46</v>
      </c>
      <c r="V721">
        <f t="shared" si="64"/>
        <v>118</v>
      </c>
      <c r="W721" s="5">
        <f t="shared" si="61"/>
        <v>854</v>
      </c>
      <c r="X721" s="9" t="str">
        <f t="shared" si="62"/>
        <v>h854</v>
      </c>
    </row>
    <row r="722" spans="1:24" x14ac:dyDescent="0.2">
      <c r="A722" s="9" t="s">
        <v>425</v>
      </c>
      <c r="B722" s="9">
        <v>1</v>
      </c>
      <c r="C722" s="22">
        <v>12</v>
      </c>
      <c r="D722" s="25"/>
      <c r="E722" s="18">
        <v>45250</v>
      </c>
      <c r="F722" s="18" t="s">
        <v>364</v>
      </c>
      <c r="G722" s="20" t="s">
        <v>21</v>
      </c>
      <c r="H722" s="19">
        <v>1</v>
      </c>
      <c r="I722" s="20" t="s">
        <v>208</v>
      </c>
      <c r="J722" s="34">
        <v>45237</v>
      </c>
      <c r="K722" s="19">
        <v>0.73</v>
      </c>
      <c r="L722" s="20">
        <f t="shared" si="63"/>
        <v>681</v>
      </c>
      <c r="M722" s="4">
        <f>IF(Table3[[#This Row],[Afrondingsdatum YB]]="N/A","-",Table3[[#This Row],[Afrondingsdatum YB]]-Table3[[#This Row],[StartDatum]])</f>
        <v>45237</v>
      </c>
      <c r="N722" s="4"/>
      <c r="O722">
        <f t="shared" si="65"/>
        <v>100</v>
      </c>
      <c r="P722">
        <f t="shared" si="64"/>
        <v>97</v>
      </c>
      <c r="Q722">
        <f t="shared" si="64"/>
        <v>115</v>
      </c>
      <c r="R722">
        <f t="shared" si="64"/>
        <v>116</v>
      </c>
      <c r="S722">
        <f t="shared" si="64"/>
        <v>97</v>
      </c>
      <c r="T722">
        <f t="shared" si="64"/>
        <v>110</v>
      </c>
      <c r="U722">
        <f t="shared" si="64"/>
        <v>46</v>
      </c>
      <c r="V722">
        <f t="shared" si="64"/>
        <v>109</v>
      </c>
      <c r="W722" s="5">
        <f t="shared" si="61"/>
        <v>885</v>
      </c>
      <c r="X722" s="9" t="str">
        <f t="shared" si="62"/>
        <v>a885</v>
      </c>
    </row>
    <row r="723" spans="1:24" x14ac:dyDescent="0.2">
      <c r="A723" s="9" t="s">
        <v>425</v>
      </c>
      <c r="B723" s="9">
        <v>1</v>
      </c>
      <c r="C723" s="22">
        <v>12</v>
      </c>
      <c r="D723" s="25"/>
      <c r="E723" s="23">
        <v>45250</v>
      </c>
      <c r="F723" s="23" t="s">
        <v>363</v>
      </c>
      <c r="G723" s="25" t="s">
        <v>22</v>
      </c>
      <c r="H723" s="24">
        <v>1</v>
      </c>
      <c r="I723" s="25" t="s">
        <v>221</v>
      </c>
      <c r="J723" s="32">
        <v>45225</v>
      </c>
      <c r="K723" s="24">
        <v>0.7</v>
      </c>
      <c r="L723" s="25">
        <f t="shared" si="63"/>
        <v>676</v>
      </c>
      <c r="M723" s="4">
        <f>IF(Table3[[#This Row],[Afrondingsdatum YB]]="N/A","-",Table3[[#This Row],[Afrondingsdatum YB]]-Table3[[#This Row],[StartDatum]])</f>
        <v>45225</v>
      </c>
      <c r="N723" s="4"/>
      <c r="O723">
        <f t="shared" si="65"/>
        <v>100</v>
      </c>
      <c r="P723">
        <f t="shared" si="64"/>
        <v>101</v>
      </c>
      <c r="Q723">
        <f t="shared" si="64"/>
        <v>109</v>
      </c>
      <c r="R723">
        <f t="shared" si="64"/>
        <v>105</v>
      </c>
      <c r="S723">
        <f t="shared" si="64"/>
        <v>46</v>
      </c>
      <c r="T723">
        <f t="shared" si="64"/>
        <v>118</v>
      </c>
      <c r="U723">
        <f t="shared" si="64"/>
        <v>97</v>
      </c>
      <c r="V723">
        <f t="shared" si="64"/>
        <v>110</v>
      </c>
      <c r="W723" s="5">
        <f t="shared" si="61"/>
        <v>875</v>
      </c>
      <c r="X723" s="9" t="str">
        <f t="shared" si="62"/>
        <v>e875</v>
      </c>
    </row>
    <row r="724" spans="1:24" x14ac:dyDescent="0.2">
      <c r="A724" s="9" t="s">
        <v>425</v>
      </c>
      <c r="B724" s="9">
        <v>1</v>
      </c>
      <c r="C724" s="22">
        <v>12</v>
      </c>
      <c r="D724" s="25"/>
      <c r="E724" s="18">
        <v>45250</v>
      </c>
      <c r="F724" s="18" t="s">
        <v>363</v>
      </c>
      <c r="G724" s="20" t="s">
        <v>23</v>
      </c>
      <c r="H724" s="19">
        <v>0.97</v>
      </c>
      <c r="I724" s="20" t="s">
        <v>227</v>
      </c>
      <c r="J724" s="20" t="s">
        <v>7</v>
      </c>
      <c r="K724" s="20" t="s">
        <v>9</v>
      </c>
      <c r="L724" s="20">
        <f t="shared" si="63"/>
        <v>681</v>
      </c>
      <c r="M724" s="4" t="str">
        <f>IF(Table3[[#This Row],[Afrondingsdatum YB]]="N/A","-",Table3[[#This Row],[Afrondingsdatum YB]]-Table3[[#This Row],[StartDatum]])</f>
        <v>-</v>
      </c>
      <c r="N724" s="4"/>
      <c r="O724">
        <f t="shared" si="65"/>
        <v>101</v>
      </c>
      <c r="P724">
        <f t="shared" si="64"/>
        <v>108</v>
      </c>
      <c r="Q724">
        <f t="shared" si="64"/>
        <v>105</v>
      </c>
      <c r="R724">
        <f t="shared" si="64"/>
        <v>122</v>
      </c>
      <c r="S724">
        <f t="shared" si="64"/>
        <v>101</v>
      </c>
      <c r="T724">
        <f t="shared" si="64"/>
        <v>46</v>
      </c>
      <c r="U724">
        <f t="shared" si="64"/>
        <v>98</v>
      </c>
      <c r="V724">
        <f t="shared" si="64"/>
        <v>97</v>
      </c>
      <c r="W724" s="5">
        <f t="shared" si="61"/>
        <v>843</v>
      </c>
      <c r="X724" s="9" t="str">
        <f t="shared" si="62"/>
        <v>l843</v>
      </c>
    </row>
    <row r="725" spans="1:24" x14ac:dyDescent="0.2">
      <c r="A725" s="9" t="s">
        <v>425</v>
      </c>
      <c r="B725" s="9">
        <v>1</v>
      </c>
      <c r="C725" s="22">
        <v>12</v>
      </c>
      <c r="D725" s="25"/>
      <c r="E725" s="23">
        <v>45250</v>
      </c>
      <c r="F725" s="23" t="s">
        <v>363</v>
      </c>
      <c r="G725" s="25" t="s">
        <v>24</v>
      </c>
      <c r="H725" s="24">
        <v>1</v>
      </c>
      <c r="I725" s="25" t="s">
        <v>222</v>
      </c>
      <c r="J725" s="32">
        <v>45225</v>
      </c>
      <c r="K725" s="24">
        <v>0.73</v>
      </c>
      <c r="L725" s="25">
        <f t="shared" si="63"/>
        <v>705</v>
      </c>
      <c r="M725" s="4">
        <f>IF(Table3[[#This Row],[Afrondingsdatum YB]]="N/A","-",Table3[[#This Row],[Afrondingsdatum YB]]-Table3[[#This Row],[StartDatum]])</f>
        <v>45225</v>
      </c>
      <c r="N725" s="4"/>
      <c r="O725">
        <f t="shared" si="65"/>
        <v>102</v>
      </c>
      <c r="P725">
        <f t="shared" si="64"/>
        <v>105</v>
      </c>
      <c r="Q725">
        <f t="shared" si="64"/>
        <v>115</v>
      </c>
      <c r="R725">
        <f t="shared" si="64"/>
        <v>116</v>
      </c>
      <c r="S725">
        <f t="shared" si="64"/>
        <v>111</v>
      </c>
      <c r="T725">
        <f t="shared" si="64"/>
        <v>110</v>
      </c>
      <c r="U725">
        <f t="shared" si="64"/>
        <v>46</v>
      </c>
      <c r="V725">
        <f t="shared" si="64"/>
        <v>99</v>
      </c>
      <c r="W725" s="5">
        <f t="shared" si="61"/>
        <v>895</v>
      </c>
      <c r="X725" s="9" t="str">
        <f t="shared" si="62"/>
        <v>i895</v>
      </c>
    </row>
    <row r="726" spans="1:24" x14ac:dyDescent="0.2">
      <c r="A726" s="9" t="s">
        <v>425</v>
      </c>
      <c r="B726" s="9">
        <v>1</v>
      </c>
      <c r="C726" s="22">
        <v>12</v>
      </c>
      <c r="D726" s="25"/>
      <c r="E726" s="18">
        <v>45250</v>
      </c>
      <c r="F726" s="18" t="s">
        <v>362</v>
      </c>
      <c r="G726" s="20" t="s">
        <v>118</v>
      </c>
      <c r="H726" s="19">
        <v>0.99</v>
      </c>
      <c r="I726" s="20" t="s">
        <v>257</v>
      </c>
      <c r="J726" s="20" t="s">
        <v>7</v>
      </c>
      <c r="K726" s="20" t="s">
        <v>9</v>
      </c>
      <c r="L726" s="20">
        <f t="shared" si="63"/>
        <v>756</v>
      </c>
      <c r="M726" s="4" t="str">
        <f>IF(Table3[[#This Row],[Afrondingsdatum YB]]="N/A","-",Table3[[#This Row],[Afrondingsdatum YB]]-Table3[[#This Row],[StartDatum]])</f>
        <v>-</v>
      </c>
      <c r="N726" s="4"/>
      <c r="O726">
        <f t="shared" si="65"/>
        <v>103</v>
      </c>
      <c r="P726">
        <f t="shared" si="64"/>
        <v>101</v>
      </c>
      <c r="Q726">
        <f t="shared" si="64"/>
        <v>110</v>
      </c>
      <c r="R726">
        <f t="shared" si="64"/>
        <v>116</v>
      </c>
      <c r="S726">
        <f t="shared" si="64"/>
        <v>97</v>
      </c>
      <c r="T726">
        <f t="shared" si="64"/>
        <v>108</v>
      </c>
      <c r="U726">
        <f t="shared" si="64"/>
        <v>121</v>
      </c>
      <c r="V726">
        <f t="shared" si="64"/>
        <v>46</v>
      </c>
      <c r="W726" s="5">
        <f t="shared" si="61"/>
        <v>885</v>
      </c>
      <c r="X726" s="9" t="str">
        <f t="shared" si="62"/>
        <v>e885</v>
      </c>
    </row>
    <row r="727" spans="1:24" x14ac:dyDescent="0.2">
      <c r="A727" s="9" t="s">
        <v>425</v>
      </c>
      <c r="B727" s="9">
        <v>1</v>
      </c>
      <c r="C727" s="22">
        <v>12</v>
      </c>
      <c r="D727" s="25"/>
      <c r="E727" s="23">
        <v>45250</v>
      </c>
      <c r="F727" s="23" t="s">
        <v>362</v>
      </c>
      <c r="G727" s="25" t="s">
        <v>25</v>
      </c>
      <c r="H727" s="24">
        <v>1</v>
      </c>
      <c r="I727" s="25" t="s">
        <v>215</v>
      </c>
      <c r="J727" s="32">
        <v>45231</v>
      </c>
      <c r="K727" s="24">
        <v>0.73</v>
      </c>
      <c r="L727" s="25">
        <f t="shared" si="63"/>
        <v>690</v>
      </c>
      <c r="M727" s="4">
        <f>IF(Table3[[#This Row],[Afrondingsdatum YB]]="N/A","-",Table3[[#This Row],[Afrondingsdatum YB]]-Table3[[#This Row],[StartDatum]])</f>
        <v>45231</v>
      </c>
      <c r="N727" s="4"/>
      <c r="O727">
        <f t="shared" si="65"/>
        <v>103</v>
      </c>
      <c r="P727">
        <f t="shared" si="64"/>
        <v>108</v>
      </c>
      <c r="Q727">
        <f t="shared" si="64"/>
        <v>105</v>
      </c>
      <c r="R727">
        <f t="shared" si="64"/>
        <v>103</v>
      </c>
      <c r="S727">
        <f t="shared" si="64"/>
        <v>111</v>
      </c>
      <c r="T727">
        <f t="shared" si="64"/>
        <v>114</v>
      </c>
      <c r="U727">
        <f t="shared" si="64"/>
        <v>46</v>
      </c>
      <c r="V727">
        <f t="shared" si="64"/>
        <v>106</v>
      </c>
      <c r="W727" s="5">
        <f t="shared" si="61"/>
        <v>875</v>
      </c>
      <c r="X727" s="9" t="str">
        <f t="shared" si="62"/>
        <v>l875</v>
      </c>
    </row>
    <row r="728" spans="1:24" x14ac:dyDescent="0.2">
      <c r="A728" s="9" t="s">
        <v>425</v>
      </c>
      <c r="B728" s="9">
        <v>1</v>
      </c>
      <c r="C728" s="22">
        <v>12</v>
      </c>
      <c r="D728" s="25"/>
      <c r="E728" s="18">
        <v>45250</v>
      </c>
      <c r="F728" s="18" t="s">
        <v>363</v>
      </c>
      <c r="G728" s="20" t="s">
        <v>26</v>
      </c>
      <c r="H728" s="19">
        <v>1</v>
      </c>
      <c r="I728" s="20" t="s">
        <v>240</v>
      </c>
      <c r="J728" s="34">
        <v>45230</v>
      </c>
      <c r="K728" s="19">
        <v>0.83</v>
      </c>
      <c r="L728" s="20">
        <f t="shared" si="63"/>
        <v>690</v>
      </c>
      <c r="M728" s="4">
        <f>IF(Table3[[#This Row],[Afrondingsdatum YB]]="N/A","-",Table3[[#This Row],[Afrondingsdatum YB]]-Table3[[#This Row],[StartDatum]])</f>
        <v>45230</v>
      </c>
      <c r="N728" s="4"/>
      <c r="O728">
        <f t="shared" si="65"/>
        <v>104</v>
      </c>
      <c r="P728">
        <f t="shared" si="64"/>
        <v>97</v>
      </c>
      <c r="Q728">
        <f t="shared" si="64"/>
        <v>122</v>
      </c>
      <c r="R728">
        <f t="shared" si="64"/>
        <v>101</v>
      </c>
      <c r="S728">
        <f t="shared" si="64"/>
        <v>109</v>
      </c>
      <c r="T728">
        <f t="shared" si="64"/>
        <v>46</v>
      </c>
      <c r="U728">
        <f t="shared" si="64"/>
        <v>111</v>
      </c>
      <c r="V728">
        <f t="shared" si="64"/>
        <v>110</v>
      </c>
      <c r="W728" s="5">
        <f t="shared" si="61"/>
        <v>920</v>
      </c>
      <c r="X728" s="9" t="str">
        <f t="shared" si="62"/>
        <v>a920</v>
      </c>
    </row>
    <row r="729" spans="1:24" x14ac:dyDescent="0.2">
      <c r="A729" s="9" t="s">
        <v>425</v>
      </c>
      <c r="B729" s="9">
        <v>1</v>
      </c>
      <c r="C729" s="22">
        <v>12</v>
      </c>
      <c r="D729" s="25"/>
      <c r="E729" s="23">
        <v>45250</v>
      </c>
      <c r="F729" s="23" t="s">
        <v>364</v>
      </c>
      <c r="G729" s="25" t="s">
        <v>27</v>
      </c>
      <c r="H729" s="24">
        <v>0.98</v>
      </c>
      <c r="I729" s="25" t="s">
        <v>250</v>
      </c>
      <c r="J729" s="25" t="s">
        <v>7</v>
      </c>
      <c r="K729" s="25" t="s">
        <v>9</v>
      </c>
      <c r="L729" s="25">
        <f t="shared" si="63"/>
        <v>734</v>
      </c>
      <c r="M729" s="4" t="str">
        <f>IF(Table3[[#This Row],[Afrondingsdatum YB]]="N/A","-",Table3[[#This Row],[Afrondingsdatum YB]]-Table3[[#This Row],[StartDatum]])</f>
        <v>-</v>
      </c>
      <c r="N729" s="4"/>
      <c r="O729">
        <f t="shared" si="65"/>
        <v>104</v>
      </c>
      <c r="P729">
        <f t="shared" si="64"/>
        <v>101</v>
      </c>
      <c r="Q729">
        <f t="shared" si="64"/>
        <v>114</v>
      </c>
      <c r="R729">
        <f t="shared" si="64"/>
        <v>109</v>
      </c>
      <c r="S729">
        <f t="shared" si="64"/>
        <v>101</v>
      </c>
      <c r="T729">
        <f t="shared" si="64"/>
        <v>108</v>
      </c>
      <c r="U729">
        <f t="shared" si="64"/>
        <v>97</v>
      </c>
      <c r="V729">
        <f t="shared" si="64"/>
        <v>46</v>
      </c>
      <c r="W729" s="5">
        <f t="shared" si="61"/>
        <v>876</v>
      </c>
      <c r="X729" s="9" t="str">
        <f t="shared" si="62"/>
        <v>e876</v>
      </c>
    </row>
    <row r="730" spans="1:24" x14ac:dyDescent="0.2">
      <c r="A730" s="9" t="s">
        <v>425</v>
      </c>
      <c r="B730" s="9">
        <v>1</v>
      </c>
      <c r="C730" s="22">
        <v>12</v>
      </c>
      <c r="D730" s="25"/>
      <c r="E730" s="18">
        <v>45250</v>
      </c>
      <c r="F730" s="18" t="s">
        <v>364</v>
      </c>
      <c r="G730" s="20" t="s">
        <v>28</v>
      </c>
      <c r="H730" s="19">
        <v>1</v>
      </c>
      <c r="I730" s="20" t="s">
        <v>241</v>
      </c>
      <c r="J730" s="34">
        <v>45233</v>
      </c>
      <c r="K730" s="19">
        <v>0.93</v>
      </c>
      <c r="L730" s="20">
        <f t="shared" si="63"/>
        <v>665</v>
      </c>
      <c r="M730" s="4">
        <f>IF(Table3[[#This Row],[Afrondingsdatum YB]]="N/A","-",Table3[[#This Row],[Afrondingsdatum YB]]-Table3[[#This Row],[StartDatum]])</f>
        <v>45233</v>
      </c>
      <c r="N730" s="4"/>
      <c r="O730">
        <f t="shared" si="65"/>
        <v>104</v>
      </c>
      <c r="P730">
        <f t="shared" si="64"/>
        <v>117</v>
      </c>
      <c r="Q730">
        <f t="shared" si="64"/>
        <v>105</v>
      </c>
      <c r="R730">
        <f t="shared" si="64"/>
        <v>98</v>
      </c>
      <c r="S730">
        <f t="shared" si="64"/>
        <v>46</v>
      </c>
      <c r="T730">
        <f t="shared" si="64"/>
        <v>98</v>
      </c>
      <c r="U730">
        <f t="shared" si="64"/>
        <v>97</v>
      </c>
      <c r="V730">
        <f t="shared" si="64"/>
        <v>107</v>
      </c>
      <c r="W730" s="5">
        <f t="shared" si="61"/>
        <v>850</v>
      </c>
      <c r="X730" s="9" t="str">
        <f t="shared" si="62"/>
        <v>u850</v>
      </c>
    </row>
    <row r="731" spans="1:24" x14ac:dyDescent="0.2">
      <c r="A731" s="9" t="s">
        <v>425</v>
      </c>
      <c r="B731" s="9">
        <v>1</v>
      </c>
      <c r="C731" s="22">
        <v>12</v>
      </c>
      <c r="D731" s="25"/>
      <c r="E731" s="23">
        <v>45250</v>
      </c>
      <c r="F731" s="23" t="s">
        <v>363</v>
      </c>
      <c r="G731" s="25" t="s">
        <v>29</v>
      </c>
      <c r="H731" s="24">
        <v>1</v>
      </c>
      <c r="I731" s="25" t="s">
        <v>179</v>
      </c>
      <c r="J731" s="32">
        <v>45210</v>
      </c>
      <c r="K731" s="24">
        <v>0.85</v>
      </c>
      <c r="L731" s="25">
        <f t="shared" si="63"/>
        <v>682</v>
      </c>
      <c r="M731" s="4">
        <f>IF(Table3[[#This Row],[Afrondingsdatum YB]]="N/A","-",Table3[[#This Row],[Afrondingsdatum YB]]-Table3[[#This Row],[StartDatum]])</f>
        <v>45210</v>
      </c>
      <c r="N731" s="4"/>
      <c r="O731">
        <f t="shared" si="65"/>
        <v>105</v>
      </c>
      <c r="P731">
        <f t="shared" si="64"/>
        <v>107</v>
      </c>
      <c r="Q731">
        <f t="shared" si="64"/>
        <v>104</v>
      </c>
      <c r="R731">
        <f t="shared" si="64"/>
        <v>108</v>
      </c>
      <c r="S731">
        <f t="shared" si="64"/>
        <v>97</v>
      </c>
      <c r="T731">
        <f t="shared" si="64"/>
        <v>115</v>
      </c>
      <c r="U731">
        <f t="shared" si="64"/>
        <v>46</v>
      </c>
      <c r="V731">
        <f t="shared" si="64"/>
        <v>98</v>
      </c>
      <c r="W731" s="5">
        <f t="shared" si="61"/>
        <v>854</v>
      </c>
      <c r="X731" s="9" t="str">
        <f t="shared" si="62"/>
        <v>k854</v>
      </c>
    </row>
    <row r="732" spans="1:24" x14ac:dyDescent="0.2">
      <c r="A732" s="9" t="s">
        <v>425</v>
      </c>
      <c r="B732" s="9">
        <v>1</v>
      </c>
      <c r="C732" s="22">
        <v>12</v>
      </c>
      <c r="D732" s="25"/>
      <c r="E732" s="18">
        <v>45250</v>
      </c>
      <c r="F732" s="18" t="s">
        <v>363</v>
      </c>
      <c r="G732" s="20" t="s">
        <v>30</v>
      </c>
      <c r="H732" s="19">
        <v>1</v>
      </c>
      <c r="I732" s="20" t="s">
        <v>225</v>
      </c>
      <c r="J732" s="34">
        <v>45226</v>
      </c>
      <c r="K732" s="19">
        <v>0.75</v>
      </c>
      <c r="L732" s="20">
        <f t="shared" si="63"/>
        <v>701</v>
      </c>
      <c r="M732" s="4">
        <f>IF(Table3[[#This Row],[Afrondingsdatum YB]]="N/A","-",Table3[[#This Row],[Afrondingsdatum YB]]-Table3[[#This Row],[StartDatum]])</f>
        <v>45226</v>
      </c>
      <c r="N732" s="4"/>
      <c r="O732">
        <f t="shared" si="65"/>
        <v>105</v>
      </c>
      <c r="P732">
        <f t="shared" si="64"/>
        <v>108</v>
      </c>
      <c r="Q732">
        <f t="shared" si="64"/>
        <v>107</v>
      </c>
      <c r="R732">
        <f t="shared" si="64"/>
        <v>97</v>
      </c>
      <c r="S732">
        <f t="shared" si="64"/>
        <v>121</v>
      </c>
      <c r="T732">
        <f t="shared" si="64"/>
        <v>46</v>
      </c>
      <c r="U732">
        <f t="shared" si="64"/>
        <v>117</v>
      </c>
      <c r="V732">
        <f t="shared" si="64"/>
        <v>121</v>
      </c>
      <c r="W732" s="5">
        <f t="shared" si="61"/>
        <v>909</v>
      </c>
      <c r="X732" s="9" t="str">
        <f t="shared" si="62"/>
        <v>l909</v>
      </c>
    </row>
    <row r="733" spans="1:24" x14ac:dyDescent="0.2">
      <c r="A733" s="9" t="s">
        <v>425</v>
      </c>
      <c r="B733" s="9">
        <v>1</v>
      </c>
      <c r="C733" s="22">
        <v>12</v>
      </c>
      <c r="D733" s="25"/>
      <c r="E733" s="23">
        <v>45250</v>
      </c>
      <c r="F733" s="23" t="s">
        <v>364</v>
      </c>
      <c r="G733" s="25" t="s">
        <v>31</v>
      </c>
      <c r="H733" s="24">
        <v>1</v>
      </c>
      <c r="I733" s="25" t="s">
        <v>207</v>
      </c>
      <c r="J733" s="32">
        <v>45230</v>
      </c>
      <c r="K733" s="24">
        <v>0.85</v>
      </c>
      <c r="L733" s="25">
        <f t="shared" si="63"/>
        <v>661</v>
      </c>
      <c r="M733" s="4">
        <f>IF(Table3[[#This Row],[Afrondingsdatum YB]]="N/A","-",Table3[[#This Row],[Afrondingsdatum YB]]-Table3[[#This Row],[StartDatum]])</f>
        <v>45230</v>
      </c>
      <c r="N733" s="4"/>
      <c r="O733">
        <f t="shared" si="65"/>
        <v>106</v>
      </c>
      <c r="P733">
        <f t="shared" si="64"/>
        <v>97</v>
      </c>
      <c r="Q733">
        <f t="shared" si="64"/>
        <v>109</v>
      </c>
      <c r="R733">
        <f t="shared" si="64"/>
        <v>97</v>
      </c>
      <c r="S733">
        <f t="shared" si="64"/>
        <v>108</v>
      </c>
      <c r="T733">
        <f t="shared" si="64"/>
        <v>46</v>
      </c>
      <c r="U733">
        <f t="shared" si="64"/>
        <v>98</v>
      </c>
      <c r="V733">
        <f t="shared" si="64"/>
        <v>97</v>
      </c>
      <c r="W733" s="5">
        <f t="shared" si="61"/>
        <v>855</v>
      </c>
      <c r="X733" s="9" t="str">
        <f t="shared" si="62"/>
        <v>a855</v>
      </c>
    </row>
    <row r="734" spans="1:24" x14ac:dyDescent="0.2">
      <c r="A734" s="9" t="s">
        <v>425</v>
      </c>
      <c r="B734" s="9">
        <v>1</v>
      </c>
      <c r="C734" s="22">
        <v>12</v>
      </c>
      <c r="D734" s="25"/>
      <c r="E734" s="18">
        <v>45250</v>
      </c>
      <c r="F734" s="18" t="s">
        <v>364</v>
      </c>
      <c r="G734" s="20" t="s">
        <v>75</v>
      </c>
      <c r="H734" s="19">
        <v>0</v>
      </c>
      <c r="I734" s="20" t="s">
        <v>8</v>
      </c>
      <c r="J734" s="20" t="s">
        <v>7</v>
      </c>
      <c r="K734" s="20" t="s">
        <v>9</v>
      </c>
      <c r="L734" s="20">
        <f t="shared" si="63"/>
        <v>698</v>
      </c>
      <c r="M734" s="4" t="str">
        <f>IF(Table3[[#This Row],[Afrondingsdatum YB]]="N/A","-",Table3[[#This Row],[Afrondingsdatum YB]]-Table3[[#This Row],[StartDatum]])</f>
        <v>-</v>
      </c>
      <c r="N734" s="4"/>
      <c r="O734">
        <f t="shared" si="65"/>
        <v>74</v>
      </c>
      <c r="P734">
        <f t="shared" si="64"/>
        <v>97</v>
      </c>
      <c r="Q734">
        <f t="shared" si="64"/>
        <v>109</v>
      </c>
      <c r="R734">
        <f t="shared" si="64"/>
        <v>105</v>
      </c>
      <c r="S734">
        <f t="shared" si="64"/>
        <v>108</v>
      </c>
      <c r="T734">
        <f t="shared" si="64"/>
        <v>108</v>
      </c>
      <c r="U734">
        <f t="shared" si="64"/>
        <v>97</v>
      </c>
      <c r="V734">
        <f t="shared" si="64"/>
        <v>98</v>
      </c>
      <c r="W734" s="5">
        <f t="shared" si="61"/>
        <v>887</v>
      </c>
      <c r="X734" s="9" t="str">
        <f t="shared" si="62"/>
        <v>a887</v>
      </c>
    </row>
    <row r="735" spans="1:24" x14ac:dyDescent="0.2">
      <c r="A735" s="9" t="s">
        <v>425</v>
      </c>
      <c r="B735" s="9">
        <v>1</v>
      </c>
      <c r="C735" s="22">
        <v>12</v>
      </c>
      <c r="D735" s="25"/>
      <c r="E735" s="23">
        <v>45250</v>
      </c>
      <c r="F735" s="23" t="s">
        <v>363</v>
      </c>
      <c r="G735" s="25" t="s">
        <v>32</v>
      </c>
      <c r="H735" s="24">
        <v>1</v>
      </c>
      <c r="I735" s="25" t="s">
        <v>181</v>
      </c>
      <c r="J735" s="32">
        <v>45209</v>
      </c>
      <c r="K735" s="24">
        <v>0.78</v>
      </c>
      <c r="L735" s="25">
        <f t="shared" si="63"/>
        <v>698</v>
      </c>
      <c r="M735" s="4">
        <f>IF(Table3[[#This Row],[Afrondingsdatum YB]]="N/A","-",Table3[[#This Row],[Afrondingsdatum YB]]-Table3[[#This Row],[StartDatum]])</f>
        <v>45209</v>
      </c>
      <c r="N735" s="4"/>
      <c r="O735">
        <f t="shared" si="65"/>
        <v>106</v>
      </c>
      <c r="P735">
        <f t="shared" si="64"/>
        <v>97</v>
      </c>
      <c r="Q735">
        <f t="shared" si="64"/>
        <v>114</v>
      </c>
      <c r="R735">
        <f t="shared" si="64"/>
        <v>114</v>
      </c>
      <c r="S735">
        <f t="shared" si="64"/>
        <v>111</v>
      </c>
      <c r="T735">
        <f t="shared" si="64"/>
        <v>110</v>
      </c>
      <c r="U735">
        <f t="shared" si="64"/>
        <v>46</v>
      </c>
      <c r="V735">
        <f t="shared" si="64"/>
        <v>118</v>
      </c>
      <c r="W735" s="5">
        <f t="shared" si="61"/>
        <v>910</v>
      </c>
      <c r="X735" s="9" t="str">
        <f t="shared" si="62"/>
        <v>a910</v>
      </c>
    </row>
    <row r="736" spans="1:24" x14ac:dyDescent="0.2">
      <c r="A736" s="9" t="s">
        <v>425</v>
      </c>
      <c r="B736" s="9">
        <v>1</v>
      </c>
      <c r="C736" s="22">
        <v>12</v>
      </c>
      <c r="D736" s="25"/>
      <c r="E736" s="18">
        <v>45250</v>
      </c>
      <c r="F736" s="18" t="s">
        <v>362</v>
      </c>
      <c r="G736" s="20" t="s">
        <v>33</v>
      </c>
      <c r="H736" s="19">
        <v>0.36</v>
      </c>
      <c r="I736" s="20" t="s">
        <v>228</v>
      </c>
      <c r="J736" s="20" t="s">
        <v>7</v>
      </c>
      <c r="K736" s="20" t="s">
        <v>9</v>
      </c>
      <c r="L736" s="20">
        <f t="shared" si="63"/>
        <v>707</v>
      </c>
      <c r="M736" s="4" t="str">
        <f>IF(Table3[[#This Row],[Afrondingsdatum YB]]="N/A","-",Table3[[#This Row],[Afrondingsdatum YB]]-Table3[[#This Row],[StartDatum]])</f>
        <v>-</v>
      </c>
      <c r="N736" s="4"/>
      <c r="O736">
        <f t="shared" si="65"/>
        <v>106</v>
      </c>
      <c r="P736">
        <f t="shared" si="64"/>
        <v>101</v>
      </c>
      <c r="Q736">
        <f t="shared" si="64"/>
        <v>118</v>
      </c>
      <c r="R736">
        <f t="shared" si="64"/>
        <v>111</v>
      </c>
      <c r="S736">
        <f t="shared" si="64"/>
        <v>110</v>
      </c>
      <c r="T736">
        <f t="shared" si="64"/>
        <v>46</v>
      </c>
      <c r="U736">
        <f t="shared" si="64"/>
        <v>115</v>
      </c>
      <c r="V736">
        <f t="shared" si="64"/>
        <v>109</v>
      </c>
      <c r="W736" s="5">
        <f t="shared" si="61"/>
        <v>918</v>
      </c>
      <c r="X736" s="9" t="str">
        <f t="shared" si="62"/>
        <v>e918</v>
      </c>
    </row>
    <row r="737" spans="1:24" x14ac:dyDescent="0.2">
      <c r="A737" s="9" t="s">
        <v>425</v>
      </c>
      <c r="B737" s="9">
        <v>1</v>
      </c>
      <c r="C737" s="22">
        <v>12</v>
      </c>
      <c r="D737" s="25"/>
      <c r="E737" s="23">
        <v>45250</v>
      </c>
      <c r="F737" s="23" t="s">
        <v>362</v>
      </c>
      <c r="G737" s="25" t="s">
        <v>125</v>
      </c>
      <c r="H737" s="24">
        <v>1</v>
      </c>
      <c r="I737" s="25" t="s">
        <v>259</v>
      </c>
      <c r="J737" s="32">
        <v>45238</v>
      </c>
      <c r="K737" s="24">
        <v>0.93</v>
      </c>
      <c r="L737" s="25">
        <f t="shared" si="63"/>
        <v>689</v>
      </c>
      <c r="M737" s="4">
        <f>IF(Table3[[#This Row],[Afrondingsdatum YB]]="N/A","-",Table3[[#This Row],[Afrondingsdatum YB]]-Table3[[#This Row],[StartDatum]])</f>
        <v>45238</v>
      </c>
      <c r="N737" s="4"/>
      <c r="O737">
        <f t="shared" si="65"/>
        <v>106</v>
      </c>
      <c r="P737">
        <f t="shared" si="64"/>
        <v>111</v>
      </c>
      <c r="Q737">
        <f t="shared" si="64"/>
        <v>98</v>
      </c>
      <c r="R737">
        <f t="shared" si="64"/>
        <v>46</v>
      </c>
      <c r="S737">
        <f t="shared" si="64"/>
        <v>107</v>
      </c>
      <c r="T737">
        <f t="shared" si="64"/>
        <v>110</v>
      </c>
      <c r="U737">
        <f t="shared" si="64"/>
        <v>111</v>
      </c>
      <c r="V737">
        <f t="shared" si="64"/>
        <v>111</v>
      </c>
      <c r="W737" s="5">
        <f t="shared" si="61"/>
        <v>906</v>
      </c>
      <c r="X737" s="9" t="str">
        <f t="shared" si="62"/>
        <v>o906</v>
      </c>
    </row>
    <row r="738" spans="1:24" x14ac:dyDescent="0.2">
      <c r="A738" s="9" t="s">
        <v>425</v>
      </c>
      <c r="B738" s="9">
        <v>1</v>
      </c>
      <c r="C738" s="22">
        <v>12</v>
      </c>
      <c r="D738" s="25"/>
      <c r="E738" s="18">
        <v>45250</v>
      </c>
      <c r="F738" s="18" t="s">
        <v>362</v>
      </c>
      <c r="G738" s="20" t="s">
        <v>34</v>
      </c>
      <c r="H738" s="19">
        <v>1</v>
      </c>
      <c r="I738" s="20" t="s">
        <v>148</v>
      </c>
      <c r="J738" s="34">
        <v>45238</v>
      </c>
      <c r="K738" s="19">
        <v>0.85</v>
      </c>
      <c r="L738" s="20">
        <f t="shared" si="63"/>
        <v>676</v>
      </c>
      <c r="M738" s="4">
        <f>IF(Table3[[#This Row],[Afrondingsdatum YB]]="N/A","-",Table3[[#This Row],[Afrondingsdatum YB]]-Table3[[#This Row],[StartDatum]])</f>
        <v>45238</v>
      </c>
      <c r="N738" s="4"/>
      <c r="O738">
        <f t="shared" si="65"/>
        <v>106</v>
      </c>
      <c r="P738">
        <f t="shared" si="64"/>
        <v>111</v>
      </c>
      <c r="Q738">
        <f t="shared" si="64"/>
        <v>99</v>
      </c>
      <c r="R738">
        <f t="shared" si="64"/>
        <v>104</v>
      </c>
      <c r="S738">
        <f t="shared" si="64"/>
        <v>101</v>
      </c>
      <c r="T738">
        <f t="shared" si="64"/>
        <v>109</v>
      </c>
      <c r="U738">
        <f t="shared" si="64"/>
        <v>46</v>
      </c>
      <c r="V738">
        <f t="shared" si="64"/>
        <v>104</v>
      </c>
      <c r="W738" s="5">
        <f t="shared" si="61"/>
        <v>845</v>
      </c>
      <c r="X738" s="9" t="str">
        <f t="shared" si="62"/>
        <v>o845</v>
      </c>
    </row>
    <row r="739" spans="1:24" x14ac:dyDescent="0.2">
      <c r="A739" s="9" t="s">
        <v>425</v>
      </c>
      <c r="B739" s="9">
        <v>1</v>
      </c>
      <c r="C739" s="22">
        <v>12</v>
      </c>
      <c r="D739" s="25"/>
      <c r="E739" s="23">
        <v>45250</v>
      </c>
      <c r="F739" s="23" t="s">
        <v>362</v>
      </c>
      <c r="G739" s="25" t="s">
        <v>35</v>
      </c>
      <c r="H739" s="24">
        <v>1</v>
      </c>
      <c r="I739" s="25" t="s">
        <v>260</v>
      </c>
      <c r="J739" s="32">
        <v>45238</v>
      </c>
      <c r="K739" s="24">
        <v>0.9</v>
      </c>
      <c r="L739" s="25">
        <f t="shared" si="63"/>
        <v>704</v>
      </c>
      <c r="M739" s="4">
        <f>IF(Table3[[#This Row],[Afrondingsdatum YB]]="N/A","-",Table3[[#This Row],[Afrondingsdatum YB]]-Table3[[#This Row],[StartDatum]])</f>
        <v>45238</v>
      </c>
      <c r="N739" s="4"/>
      <c r="O739">
        <f t="shared" si="65"/>
        <v>106</v>
      </c>
      <c r="P739">
        <f t="shared" si="64"/>
        <v>111</v>
      </c>
      <c r="Q739">
        <f t="shared" si="64"/>
        <v>114</v>
      </c>
      <c r="R739">
        <f t="shared" si="64"/>
        <v>105</v>
      </c>
      <c r="S739">
        <f t="shared" si="64"/>
        <v>115</v>
      </c>
      <c r="T739">
        <f t="shared" si="64"/>
        <v>46</v>
      </c>
      <c r="U739">
        <f t="shared" si="64"/>
        <v>107</v>
      </c>
      <c r="V739">
        <f t="shared" si="64"/>
        <v>111</v>
      </c>
      <c r="W739" s="5">
        <f t="shared" si="61"/>
        <v>909</v>
      </c>
      <c r="X739" s="9" t="str">
        <f t="shared" si="62"/>
        <v>o909</v>
      </c>
    </row>
    <row r="740" spans="1:24" x14ac:dyDescent="0.2">
      <c r="A740" s="9" t="s">
        <v>425</v>
      </c>
      <c r="B740" s="9">
        <v>1</v>
      </c>
      <c r="C740" s="22">
        <v>12</v>
      </c>
      <c r="D740" s="25"/>
      <c r="E740" s="18">
        <v>45250</v>
      </c>
      <c r="F740" s="18" t="s">
        <v>364</v>
      </c>
      <c r="G740" s="20" t="s">
        <v>36</v>
      </c>
      <c r="H740" s="19">
        <v>1</v>
      </c>
      <c r="I740" s="20" t="s">
        <v>179</v>
      </c>
      <c r="J740" s="34">
        <v>45236</v>
      </c>
      <c r="K740" s="19">
        <v>0.8</v>
      </c>
      <c r="L740" s="20">
        <f t="shared" si="63"/>
        <v>657</v>
      </c>
      <c r="M740" s="4">
        <f>IF(Table3[[#This Row],[Afrondingsdatum YB]]="N/A","-",Table3[[#This Row],[Afrondingsdatum YB]]-Table3[[#This Row],[StartDatum]])</f>
        <v>45236</v>
      </c>
      <c r="N740" s="4"/>
      <c r="O740">
        <f t="shared" si="65"/>
        <v>74</v>
      </c>
      <c r="P740">
        <f t="shared" si="64"/>
        <v>117</v>
      </c>
      <c r="Q740">
        <f t="shared" si="64"/>
        <v>108</v>
      </c>
      <c r="R740">
        <f t="shared" si="64"/>
        <v>105</v>
      </c>
      <c r="S740">
        <f t="shared" si="64"/>
        <v>97</v>
      </c>
      <c r="T740">
        <f t="shared" si="64"/>
        <v>110</v>
      </c>
      <c r="U740">
        <f t="shared" si="64"/>
        <v>46</v>
      </c>
      <c r="V740">
        <f t="shared" si="64"/>
        <v>68</v>
      </c>
      <c r="W740" s="5">
        <f t="shared" si="61"/>
        <v>804</v>
      </c>
      <c r="X740" s="9" t="str">
        <f t="shared" si="62"/>
        <v>u804</v>
      </c>
    </row>
    <row r="741" spans="1:24" x14ac:dyDescent="0.2">
      <c r="A741" s="9" t="s">
        <v>425</v>
      </c>
      <c r="B741" s="9">
        <v>1</v>
      </c>
      <c r="C741" s="22">
        <v>12</v>
      </c>
      <c r="D741" s="25"/>
      <c r="E741" s="23">
        <v>45250</v>
      </c>
      <c r="F741" s="23" t="s">
        <v>363</v>
      </c>
      <c r="G741" s="25" t="s">
        <v>37</v>
      </c>
      <c r="H741" s="24">
        <v>1</v>
      </c>
      <c r="I741" s="25" t="s">
        <v>207</v>
      </c>
      <c r="J741" s="32">
        <v>45228</v>
      </c>
      <c r="K741" s="24">
        <v>0.8</v>
      </c>
      <c r="L741" s="25">
        <f t="shared" si="63"/>
        <v>689</v>
      </c>
      <c r="M741" s="4">
        <f>IF(Table3[[#This Row],[Afrondingsdatum YB]]="N/A","-",Table3[[#This Row],[Afrondingsdatum YB]]-Table3[[#This Row],[StartDatum]])</f>
        <v>45228</v>
      </c>
      <c r="N741" s="4"/>
      <c r="O741">
        <f t="shared" si="65"/>
        <v>106</v>
      </c>
      <c r="P741">
        <f t="shared" si="64"/>
        <v>117</v>
      </c>
      <c r="Q741">
        <f t="shared" si="64"/>
        <v>108</v>
      </c>
      <c r="R741">
        <f t="shared" si="64"/>
        <v>105</v>
      </c>
      <c r="S741">
        <f t="shared" si="64"/>
        <v>97</v>
      </c>
      <c r="T741">
        <f t="shared" si="64"/>
        <v>110</v>
      </c>
      <c r="U741">
        <f t="shared" si="64"/>
        <v>46</v>
      </c>
      <c r="V741">
        <f t="shared" si="64"/>
        <v>118</v>
      </c>
      <c r="W741" s="5">
        <f t="shared" si="61"/>
        <v>886</v>
      </c>
      <c r="X741" s="9" t="str">
        <f t="shared" si="62"/>
        <v>u886</v>
      </c>
    </row>
    <row r="742" spans="1:24" x14ac:dyDescent="0.2">
      <c r="A742" s="9" t="s">
        <v>425</v>
      </c>
      <c r="B742" s="9">
        <v>1</v>
      </c>
      <c r="C742" s="22">
        <v>12</v>
      </c>
      <c r="D742" s="25"/>
      <c r="E742" s="18">
        <v>45250</v>
      </c>
      <c r="F742" s="18" t="s">
        <v>363</v>
      </c>
      <c r="G742" s="20" t="s">
        <v>38</v>
      </c>
      <c r="H742" s="19">
        <v>1</v>
      </c>
      <c r="I742" s="20" t="s">
        <v>208</v>
      </c>
      <c r="J742" s="34">
        <v>45223</v>
      </c>
      <c r="K742" s="19">
        <v>0.8</v>
      </c>
      <c r="L742" s="20">
        <f t="shared" si="63"/>
        <v>671</v>
      </c>
      <c r="M742" s="4">
        <f>IF(Table3[[#This Row],[Afrondingsdatum YB]]="N/A","-",Table3[[#This Row],[Afrondingsdatum YB]]-Table3[[#This Row],[StartDatum]])</f>
        <v>45223</v>
      </c>
      <c r="N742" s="4"/>
      <c r="O742">
        <f t="shared" si="65"/>
        <v>107</v>
      </c>
      <c r="P742">
        <f t="shared" si="64"/>
        <v>97</v>
      </c>
      <c r="Q742">
        <f t="shared" si="64"/>
        <v>105</v>
      </c>
      <c r="R742">
        <f t="shared" si="64"/>
        <v>46</v>
      </c>
      <c r="S742">
        <f t="shared" si="64"/>
        <v>104</v>
      </c>
      <c r="T742">
        <f t="shared" si="64"/>
        <v>97</v>
      </c>
      <c r="U742">
        <f t="shared" si="64"/>
        <v>115</v>
      </c>
      <c r="V742">
        <f t="shared" si="64"/>
        <v>115</v>
      </c>
      <c r="W742" s="5">
        <f t="shared" si="61"/>
        <v>913</v>
      </c>
      <c r="X742" s="9" t="str">
        <f t="shared" si="62"/>
        <v>a913</v>
      </c>
    </row>
    <row r="743" spans="1:24" x14ac:dyDescent="0.2">
      <c r="A743" s="9" t="s">
        <v>425</v>
      </c>
      <c r="B743" s="9">
        <v>1</v>
      </c>
      <c r="C743" s="22">
        <v>12</v>
      </c>
      <c r="D743" s="25"/>
      <c r="E743" s="23">
        <v>45250</v>
      </c>
      <c r="F743" s="23" t="s">
        <v>362</v>
      </c>
      <c r="G743" s="25" t="s">
        <v>261</v>
      </c>
      <c r="H743" s="24">
        <v>1</v>
      </c>
      <c r="I743" s="25" t="s">
        <v>105</v>
      </c>
      <c r="J743" s="32">
        <v>45239</v>
      </c>
      <c r="K743" s="24">
        <v>0.73</v>
      </c>
      <c r="L743" s="25">
        <f t="shared" si="63"/>
        <v>679</v>
      </c>
      <c r="M743" s="4">
        <f>IF(Table3[[#This Row],[Afrondingsdatum YB]]="N/A","-",Table3[[#This Row],[Afrondingsdatum YB]]-Table3[[#This Row],[StartDatum]])</f>
        <v>45239</v>
      </c>
      <c r="N743" s="4"/>
      <c r="O743">
        <f t="shared" si="65"/>
        <v>107</v>
      </c>
      <c r="P743">
        <f t="shared" si="64"/>
        <v>101</v>
      </c>
      <c r="Q743">
        <f t="shared" si="64"/>
        <v>101</v>
      </c>
      <c r="R743">
        <f t="shared" ref="P743:V779" si="66">CODE(MID($G743,R$1,1))</f>
        <v>115</v>
      </c>
      <c r="S743">
        <f t="shared" si="66"/>
        <v>46</v>
      </c>
      <c r="T743">
        <f t="shared" si="66"/>
        <v>98</v>
      </c>
      <c r="U743">
        <f t="shared" si="66"/>
        <v>111</v>
      </c>
      <c r="V743">
        <f t="shared" si="66"/>
        <v>110</v>
      </c>
      <c r="W743" s="5">
        <f t="shared" si="61"/>
        <v>854</v>
      </c>
      <c r="X743" s="9" t="str">
        <f t="shared" si="62"/>
        <v>e854</v>
      </c>
    </row>
    <row r="744" spans="1:24" x14ac:dyDescent="0.2">
      <c r="A744" s="9" t="s">
        <v>425</v>
      </c>
      <c r="B744" s="9">
        <v>1</v>
      </c>
      <c r="C744" s="22">
        <v>12</v>
      </c>
      <c r="D744" s="25"/>
      <c r="E744" s="18">
        <v>45250</v>
      </c>
      <c r="F744" s="18" t="s">
        <v>362</v>
      </c>
      <c r="G744" s="20" t="s">
        <v>39</v>
      </c>
      <c r="H744" s="19">
        <v>1</v>
      </c>
      <c r="I744" s="20" t="s">
        <v>226</v>
      </c>
      <c r="J744" s="34">
        <v>45226</v>
      </c>
      <c r="K744" s="19">
        <v>0.75</v>
      </c>
      <c r="L744" s="20">
        <f t="shared" si="63"/>
        <v>673</v>
      </c>
      <c r="M744" s="4">
        <f>IF(Table3[[#This Row],[Afrondingsdatum YB]]="N/A","-",Table3[[#This Row],[Afrondingsdatum YB]]-Table3[[#This Row],[StartDatum]])</f>
        <v>45226</v>
      </c>
      <c r="N744" s="4"/>
      <c r="O744">
        <f t="shared" si="65"/>
        <v>107</v>
      </c>
      <c r="P744">
        <f t="shared" si="66"/>
        <v>101</v>
      </c>
      <c r="Q744">
        <f t="shared" si="66"/>
        <v>110</v>
      </c>
      <c r="R744">
        <f t="shared" si="66"/>
        <v>97</v>
      </c>
      <c r="S744">
        <f t="shared" si="66"/>
        <v>110</v>
      </c>
      <c r="T744">
        <f t="shared" si="66"/>
        <v>46</v>
      </c>
      <c r="U744">
        <f t="shared" si="66"/>
        <v>102</v>
      </c>
      <c r="V744">
        <f t="shared" si="66"/>
        <v>108</v>
      </c>
      <c r="W744" s="5">
        <f t="shared" si="61"/>
        <v>878</v>
      </c>
      <c r="X744" s="9" t="str">
        <f t="shared" si="62"/>
        <v>e878</v>
      </c>
    </row>
    <row r="745" spans="1:24" x14ac:dyDescent="0.2">
      <c r="A745" s="9" t="s">
        <v>425</v>
      </c>
      <c r="B745" s="9">
        <v>1</v>
      </c>
      <c r="C745" s="22">
        <v>12</v>
      </c>
      <c r="D745" s="25"/>
      <c r="E745" s="23">
        <v>45250</v>
      </c>
      <c r="F745" s="23" t="s">
        <v>363</v>
      </c>
      <c r="G745" s="25" t="s">
        <v>40</v>
      </c>
      <c r="H745" s="24">
        <v>1</v>
      </c>
      <c r="I745" s="25" t="s">
        <v>227</v>
      </c>
      <c r="J745" s="32">
        <v>45225</v>
      </c>
      <c r="K745" s="24">
        <v>0.85</v>
      </c>
      <c r="L745" s="25">
        <f t="shared" si="63"/>
        <v>685</v>
      </c>
      <c r="M745" s="4">
        <f>IF(Table3[[#This Row],[Afrondingsdatum YB]]="N/A","-",Table3[[#This Row],[Afrondingsdatum YB]]-Table3[[#This Row],[StartDatum]])</f>
        <v>45225</v>
      </c>
      <c r="N745" s="4"/>
      <c r="O745">
        <f t="shared" si="65"/>
        <v>107</v>
      </c>
      <c r="P745">
        <f t="shared" si="66"/>
        <v>101</v>
      </c>
      <c r="Q745">
        <f t="shared" si="66"/>
        <v>118</v>
      </c>
      <c r="R745">
        <f t="shared" si="66"/>
        <v>105</v>
      </c>
      <c r="S745">
        <f t="shared" si="66"/>
        <v>110</v>
      </c>
      <c r="T745">
        <f t="shared" si="66"/>
        <v>46</v>
      </c>
      <c r="U745">
        <f t="shared" si="66"/>
        <v>98</v>
      </c>
      <c r="V745">
        <f t="shared" si="66"/>
        <v>97</v>
      </c>
      <c r="W745" s="5">
        <f t="shared" ref="W745:W808" si="67">ROUND((O745*O$1+P745/P$1+Q745*Q$1+R745/R$1)+SUM(S745:V745),0)</f>
        <v>889</v>
      </c>
      <c r="X745" s="9" t="str">
        <f t="shared" ref="X745:X808" si="68">MID(G745,2,1)&amp;TEXT(W745,"###")</f>
        <v>e889</v>
      </c>
    </row>
    <row r="746" spans="1:24" x14ac:dyDescent="0.2">
      <c r="A746" s="9" t="s">
        <v>425</v>
      </c>
      <c r="B746" s="9">
        <v>1</v>
      </c>
      <c r="C746" s="22">
        <v>12</v>
      </c>
      <c r="D746" s="25"/>
      <c r="E746" s="18">
        <v>45250</v>
      </c>
      <c r="F746" s="18" t="s">
        <v>363</v>
      </c>
      <c r="G746" s="20" t="s">
        <v>41</v>
      </c>
      <c r="H746" s="19">
        <v>1</v>
      </c>
      <c r="I746" s="20" t="s">
        <v>121</v>
      </c>
      <c r="J746" s="34">
        <v>45218</v>
      </c>
      <c r="K746" s="19">
        <v>0.83</v>
      </c>
      <c r="L746" s="20">
        <f t="shared" si="63"/>
        <v>694</v>
      </c>
      <c r="M746" s="4">
        <f>IF(Table3[[#This Row],[Afrondingsdatum YB]]="N/A","-",Table3[[#This Row],[Afrondingsdatum YB]]-Table3[[#This Row],[StartDatum]])</f>
        <v>45218</v>
      </c>
      <c r="N746" s="4"/>
      <c r="O746">
        <f t="shared" si="65"/>
        <v>107</v>
      </c>
      <c r="P746">
        <f t="shared" si="66"/>
        <v>106</v>
      </c>
      <c r="Q746">
        <f t="shared" si="66"/>
        <v>101</v>
      </c>
      <c r="R746">
        <f t="shared" si="66"/>
        <v>108</v>
      </c>
      <c r="S746">
        <f t="shared" si="66"/>
        <v>108</v>
      </c>
      <c r="T746">
        <f t="shared" si="66"/>
        <v>46</v>
      </c>
      <c r="U746">
        <f t="shared" si="66"/>
        <v>118</v>
      </c>
      <c r="V746">
        <f t="shared" si="66"/>
        <v>97</v>
      </c>
      <c r="W746" s="5">
        <f t="shared" si="67"/>
        <v>859</v>
      </c>
      <c r="X746" s="9" t="str">
        <f t="shared" si="68"/>
        <v>j859</v>
      </c>
    </row>
    <row r="747" spans="1:24" x14ac:dyDescent="0.2">
      <c r="A747" s="9" t="s">
        <v>425</v>
      </c>
      <c r="B747" s="9">
        <v>1</v>
      </c>
      <c r="C747" s="22">
        <v>12</v>
      </c>
      <c r="D747" s="25"/>
      <c r="E747" s="23">
        <v>45250</v>
      </c>
      <c r="F747" s="23" t="s">
        <v>362</v>
      </c>
      <c r="G747" s="25" t="s">
        <v>79</v>
      </c>
      <c r="H747" s="24">
        <v>1</v>
      </c>
      <c r="I747" s="25" t="s">
        <v>72</v>
      </c>
      <c r="J747" s="32">
        <v>45214</v>
      </c>
      <c r="K747" s="24">
        <v>0.7</v>
      </c>
      <c r="L747" s="25">
        <f t="shared" si="63"/>
        <v>679</v>
      </c>
      <c r="M747" s="4">
        <f>IF(Table3[[#This Row],[Afrondingsdatum YB]]="N/A","-",Table3[[#This Row],[Afrondingsdatum YB]]-Table3[[#This Row],[StartDatum]])</f>
        <v>45214</v>
      </c>
      <c r="N747" s="4"/>
      <c r="O747">
        <f t="shared" si="65"/>
        <v>108</v>
      </c>
      <c r="P747">
        <f t="shared" si="66"/>
        <v>97</v>
      </c>
      <c r="Q747">
        <f t="shared" si="66"/>
        <v>109</v>
      </c>
      <c r="R747">
        <f t="shared" si="66"/>
        <v>121</v>
      </c>
      <c r="S747">
        <f t="shared" si="66"/>
        <v>97</v>
      </c>
      <c r="T747">
        <f t="shared" si="66"/>
        <v>101</v>
      </c>
      <c r="U747">
        <f t="shared" si="66"/>
        <v>46</v>
      </c>
      <c r="V747">
        <f t="shared" si="66"/>
        <v>101</v>
      </c>
      <c r="W747" s="5">
        <f t="shared" si="67"/>
        <v>859</v>
      </c>
      <c r="X747" s="9" t="str">
        <f t="shared" si="68"/>
        <v>a859</v>
      </c>
    </row>
    <row r="748" spans="1:24" x14ac:dyDescent="0.2">
      <c r="A748" s="9" t="s">
        <v>425</v>
      </c>
      <c r="B748" s="9">
        <v>1</v>
      </c>
      <c r="C748" s="22">
        <v>12</v>
      </c>
      <c r="D748" s="25"/>
      <c r="E748" s="18">
        <v>45250</v>
      </c>
      <c r="F748" s="18" t="s">
        <v>363</v>
      </c>
      <c r="G748" s="20" t="s">
        <v>42</v>
      </c>
      <c r="H748" s="19">
        <v>1</v>
      </c>
      <c r="I748" s="20" t="s">
        <v>121</v>
      </c>
      <c r="J748" s="34">
        <v>45227</v>
      </c>
      <c r="K748" s="19">
        <v>0.7</v>
      </c>
      <c r="L748" s="20">
        <f t="shared" si="63"/>
        <v>687</v>
      </c>
      <c r="M748" s="4">
        <f>IF(Table3[[#This Row],[Afrondingsdatum YB]]="N/A","-",Table3[[#This Row],[Afrondingsdatum YB]]-Table3[[#This Row],[StartDatum]])</f>
        <v>45227</v>
      </c>
      <c r="N748" s="4"/>
      <c r="O748">
        <f t="shared" si="65"/>
        <v>108</v>
      </c>
      <c r="P748">
        <f t="shared" si="66"/>
        <v>105</v>
      </c>
      <c r="Q748">
        <f t="shared" si="66"/>
        <v>110</v>
      </c>
      <c r="R748">
        <f t="shared" si="66"/>
        <v>100</v>
      </c>
      <c r="S748">
        <f t="shared" si="66"/>
        <v>121</v>
      </c>
      <c r="T748">
        <f t="shared" si="66"/>
        <v>46</v>
      </c>
      <c r="U748">
        <f t="shared" si="66"/>
        <v>97</v>
      </c>
      <c r="V748">
        <f t="shared" si="66"/>
        <v>110</v>
      </c>
      <c r="W748" s="5">
        <f t="shared" si="67"/>
        <v>890</v>
      </c>
      <c r="X748" s="9" t="str">
        <f t="shared" si="68"/>
        <v>i890</v>
      </c>
    </row>
    <row r="749" spans="1:24" x14ac:dyDescent="0.2">
      <c r="A749" s="9" t="s">
        <v>425</v>
      </c>
      <c r="B749" s="9">
        <v>1</v>
      </c>
      <c r="C749" s="22">
        <v>12</v>
      </c>
      <c r="D749" s="25"/>
      <c r="E749" s="23">
        <v>45250</v>
      </c>
      <c r="F749" s="23" t="s">
        <v>363</v>
      </c>
      <c r="G749" s="25" t="s">
        <v>43</v>
      </c>
      <c r="H749" s="24">
        <v>1</v>
      </c>
      <c r="I749" s="25" t="s">
        <v>262</v>
      </c>
      <c r="J749" s="25" t="s">
        <v>7</v>
      </c>
      <c r="K749" s="25" t="s">
        <v>9</v>
      </c>
      <c r="L749" s="25">
        <f t="shared" si="63"/>
        <v>689</v>
      </c>
      <c r="M749" s="4" t="str">
        <f>IF(Table3[[#This Row],[Afrondingsdatum YB]]="N/A","-",Table3[[#This Row],[Afrondingsdatum YB]]-Table3[[#This Row],[StartDatum]])</f>
        <v>-</v>
      </c>
      <c r="N749" s="4"/>
      <c r="O749">
        <f t="shared" si="65"/>
        <v>108</v>
      </c>
      <c r="P749">
        <f t="shared" si="66"/>
        <v>117</v>
      </c>
      <c r="Q749">
        <f t="shared" si="66"/>
        <v>99</v>
      </c>
      <c r="R749">
        <f t="shared" si="66"/>
        <v>46</v>
      </c>
      <c r="S749">
        <f t="shared" si="66"/>
        <v>98</v>
      </c>
      <c r="T749">
        <f t="shared" si="66"/>
        <v>111</v>
      </c>
      <c r="U749">
        <f t="shared" si="66"/>
        <v>110</v>
      </c>
      <c r="V749">
        <f t="shared" si="66"/>
        <v>100</v>
      </c>
      <c r="W749" s="5">
        <f t="shared" si="67"/>
        <v>894</v>
      </c>
      <c r="X749" s="9" t="str">
        <f t="shared" si="68"/>
        <v>u894</v>
      </c>
    </row>
    <row r="750" spans="1:24" x14ac:dyDescent="0.2">
      <c r="A750" s="9" t="s">
        <v>425</v>
      </c>
      <c r="B750" s="9">
        <v>1</v>
      </c>
      <c r="C750" s="22">
        <v>12</v>
      </c>
      <c r="D750" s="25"/>
      <c r="E750" s="18">
        <v>45250</v>
      </c>
      <c r="F750" s="18" t="s">
        <v>364</v>
      </c>
      <c r="G750" s="20" t="s">
        <v>44</v>
      </c>
      <c r="H750" s="19">
        <v>1</v>
      </c>
      <c r="I750" s="20" t="s">
        <v>102</v>
      </c>
      <c r="J750" s="34">
        <v>45217</v>
      </c>
      <c r="K750" s="19">
        <v>0.73</v>
      </c>
      <c r="L750" s="20">
        <f t="shared" si="63"/>
        <v>680</v>
      </c>
      <c r="M750" s="4">
        <f>IF(Table3[[#This Row],[Afrondingsdatum YB]]="N/A","-",Table3[[#This Row],[Afrondingsdatum YB]]-Table3[[#This Row],[StartDatum]])</f>
        <v>45217</v>
      </c>
      <c r="N750" s="4"/>
      <c r="O750">
        <f t="shared" si="65"/>
        <v>108</v>
      </c>
      <c r="P750">
        <f t="shared" si="66"/>
        <v>117</v>
      </c>
      <c r="Q750">
        <f t="shared" si="66"/>
        <v>99</v>
      </c>
      <c r="R750">
        <f t="shared" si="66"/>
        <v>97</v>
      </c>
      <c r="S750">
        <f t="shared" si="66"/>
        <v>115</v>
      </c>
      <c r="T750">
        <f t="shared" si="66"/>
        <v>46</v>
      </c>
      <c r="U750">
        <f t="shared" si="66"/>
        <v>98</v>
      </c>
      <c r="V750">
        <f t="shared" si="66"/>
        <v>114</v>
      </c>
      <c r="W750" s="5">
        <f t="shared" si="67"/>
        <v>861</v>
      </c>
      <c r="X750" s="9" t="str">
        <f t="shared" si="68"/>
        <v>u861</v>
      </c>
    </row>
    <row r="751" spans="1:24" x14ac:dyDescent="0.2">
      <c r="A751" s="9" t="s">
        <v>425</v>
      </c>
      <c r="B751" s="9">
        <v>1</v>
      </c>
      <c r="C751" s="22">
        <v>12</v>
      </c>
      <c r="D751" s="25"/>
      <c r="E751" s="23">
        <v>45250</v>
      </c>
      <c r="F751" s="23" t="s">
        <v>363</v>
      </c>
      <c r="G751" s="25" t="s">
        <v>81</v>
      </c>
      <c r="H751" s="24">
        <v>1</v>
      </c>
      <c r="I751" s="25" t="s">
        <v>229</v>
      </c>
      <c r="J751" s="32">
        <v>45228</v>
      </c>
      <c r="K751" s="24">
        <v>0.7</v>
      </c>
      <c r="L751" s="25">
        <f t="shared" si="63"/>
        <v>668</v>
      </c>
      <c r="M751" s="4">
        <f>IF(Table3[[#This Row],[Afrondingsdatum YB]]="N/A","-",Table3[[#This Row],[Afrondingsdatum YB]]-Table3[[#This Row],[StartDatum]])</f>
        <v>45228</v>
      </c>
      <c r="N751" s="4"/>
      <c r="O751">
        <f t="shared" si="65"/>
        <v>76</v>
      </c>
      <c r="P751">
        <f t="shared" si="66"/>
        <v>117</v>
      </c>
      <c r="Q751">
        <f t="shared" si="66"/>
        <v>99</v>
      </c>
      <c r="R751">
        <f t="shared" si="66"/>
        <v>97</v>
      </c>
      <c r="S751">
        <f t="shared" si="66"/>
        <v>115</v>
      </c>
      <c r="T751">
        <f t="shared" si="66"/>
        <v>46</v>
      </c>
      <c r="U751">
        <f t="shared" si="66"/>
        <v>118</v>
      </c>
      <c r="V751">
        <f t="shared" si="66"/>
        <v>97</v>
      </c>
      <c r="W751" s="5">
        <f t="shared" si="67"/>
        <v>832</v>
      </c>
      <c r="X751" s="9" t="str">
        <f t="shared" si="68"/>
        <v>u832</v>
      </c>
    </row>
    <row r="752" spans="1:24" x14ac:dyDescent="0.2">
      <c r="A752" s="9" t="s">
        <v>425</v>
      </c>
      <c r="B752" s="9">
        <v>1</v>
      </c>
      <c r="C752" s="22">
        <v>12</v>
      </c>
      <c r="D752" s="25"/>
      <c r="E752" s="18">
        <v>45250</v>
      </c>
      <c r="F752" s="18" t="s">
        <v>364</v>
      </c>
      <c r="G752" s="20" t="s">
        <v>45</v>
      </c>
      <c r="H752" s="19">
        <v>1</v>
      </c>
      <c r="I752" s="20" t="s">
        <v>146</v>
      </c>
      <c r="J752" s="34">
        <v>45238</v>
      </c>
      <c r="K752" s="19">
        <v>0.85</v>
      </c>
      <c r="L752" s="20">
        <f t="shared" si="63"/>
        <v>757</v>
      </c>
      <c r="M752" s="4">
        <f>IF(Table3[[#This Row],[Afrondingsdatum YB]]="N/A","-",Table3[[#This Row],[Afrondingsdatum YB]]-Table3[[#This Row],[StartDatum]])</f>
        <v>45238</v>
      </c>
      <c r="N752" s="4"/>
      <c r="O752">
        <f t="shared" si="65"/>
        <v>109</v>
      </c>
      <c r="P752">
        <f t="shared" si="66"/>
        <v>97</v>
      </c>
      <c r="Q752">
        <f t="shared" si="66"/>
        <v>114</v>
      </c>
      <c r="R752">
        <f t="shared" si="66"/>
        <v>116</v>
      </c>
      <c r="S752">
        <f t="shared" si="66"/>
        <v>105</v>
      </c>
      <c r="T752">
        <f t="shared" si="66"/>
        <v>106</v>
      </c>
      <c r="U752">
        <f t="shared" si="66"/>
        <v>110</v>
      </c>
      <c r="V752">
        <f t="shared" si="66"/>
        <v>46</v>
      </c>
      <c r="W752" s="5">
        <f t="shared" si="67"/>
        <v>896</v>
      </c>
      <c r="X752" s="9" t="str">
        <f t="shared" si="68"/>
        <v>a896</v>
      </c>
    </row>
    <row r="753" spans="1:24" x14ac:dyDescent="0.2">
      <c r="A753" s="9" t="s">
        <v>425</v>
      </c>
      <c r="B753" s="9">
        <v>1</v>
      </c>
      <c r="C753" s="22">
        <v>12</v>
      </c>
      <c r="D753" s="25"/>
      <c r="E753" s="23">
        <v>45250</v>
      </c>
      <c r="F753" s="23" t="s">
        <v>364</v>
      </c>
      <c r="G753" s="25" t="s">
        <v>46</v>
      </c>
      <c r="H753" s="24">
        <v>1</v>
      </c>
      <c r="I753" s="25" t="s">
        <v>210</v>
      </c>
      <c r="J753" s="32">
        <v>45217</v>
      </c>
      <c r="K753" s="24">
        <v>0.85</v>
      </c>
      <c r="L753" s="25">
        <f t="shared" si="63"/>
        <v>682</v>
      </c>
      <c r="M753" s="4">
        <f>IF(Table3[[#This Row],[Afrondingsdatum YB]]="N/A","-",Table3[[#This Row],[Afrondingsdatum YB]]-Table3[[#This Row],[StartDatum]])</f>
        <v>45217</v>
      </c>
      <c r="N753" s="4"/>
      <c r="O753">
        <f t="shared" si="65"/>
        <v>109</v>
      </c>
      <c r="P753">
        <f t="shared" si="66"/>
        <v>97</v>
      </c>
      <c r="Q753">
        <f t="shared" si="66"/>
        <v>114</v>
      </c>
      <c r="R753">
        <f t="shared" si="66"/>
        <v>119</v>
      </c>
      <c r="S753">
        <f t="shared" si="66"/>
        <v>97</v>
      </c>
      <c r="T753">
        <f t="shared" si="66"/>
        <v>46</v>
      </c>
      <c r="U753">
        <f t="shared" si="66"/>
        <v>100</v>
      </c>
      <c r="V753">
        <f t="shared" si="66"/>
        <v>97</v>
      </c>
      <c r="W753" s="5">
        <f t="shared" si="67"/>
        <v>869</v>
      </c>
      <c r="X753" s="9" t="str">
        <f t="shared" si="68"/>
        <v>a869</v>
      </c>
    </row>
    <row r="754" spans="1:24" x14ac:dyDescent="0.2">
      <c r="A754" s="9" t="s">
        <v>425</v>
      </c>
      <c r="B754" s="9">
        <v>1</v>
      </c>
      <c r="C754" s="22">
        <v>12</v>
      </c>
      <c r="D754" s="25"/>
      <c r="E754" s="18">
        <v>45250</v>
      </c>
      <c r="F754" s="18" t="s">
        <v>362</v>
      </c>
      <c r="G754" s="20" t="s">
        <v>245</v>
      </c>
      <c r="H754" s="19">
        <v>0.69</v>
      </c>
      <c r="I754" s="20" t="s">
        <v>272</v>
      </c>
      <c r="J754" s="20" t="s">
        <v>7</v>
      </c>
      <c r="K754" s="20" t="s">
        <v>9</v>
      </c>
      <c r="L754" s="20">
        <f t="shared" si="63"/>
        <v>692</v>
      </c>
      <c r="M754" s="4" t="str">
        <f>IF(Table3[[#This Row],[Afrondingsdatum YB]]="N/A","-",Table3[[#This Row],[Afrondingsdatum YB]]-Table3[[#This Row],[StartDatum]])</f>
        <v>-</v>
      </c>
      <c r="N754" s="4"/>
      <c r="O754">
        <f t="shared" si="65"/>
        <v>109</v>
      </c>
      <c r="P754">
        <f t="shared" si="66"/>
        <v>97</v>
      </c>
      <c r="Q754">
        <f t="shared" si="66"/>
        <v>114</v>
      </c>
      <c r="R754">
        <f t="shared" si="66"/>
        <v>119</v>
      </c>
      <c r="S754">
        <f t="shared" si="66"/>
        <v>97</v>
      </c>
      <c r="T754">
        <f t="shared" si="66"/>
        <v>110</v>
      </c>
      <c r="U754">
        <f t="shared" si="66"/>
        <v>46</v>
      </c>
      <c r="V754">
        <f t="shared" si="66"/>
        <v>97</v>
      </c>
      <c r="W754" s="5">
        <f t="shared" si="67"/>
        <v>879</v>
      </c>
      <c r="X754" s="9" t="str">
        <f t="shared" si="68"/>
        <v>a879</v>
      </c>
    </row>
    <row r="755" spans="1:24" x14ac:dyDescent="0.2">
      <c r="A755" s="9" t="s">
        <v>425</v>
      </c>
      <c r="B755" s="9">
        <v>1</v>
      </c>
      <c r="C755" s="22">
        <v>12</v>
      </c>
      <c r="D755" s="25"/>
      <c r="E755" s="23">
        <v>45250</v>
      </c>
      <c r="F755" s="23" t="s">
        <v>364</v>
      </c>
      <c r="G755" s="25" t="s">
        <v>47</v>
      </c>
      <c r="H755" s="24">
        <v>1</v>
      </c>
      <c r="I755" s="25" t="s">
        <v>273</v>
      </c>
      <c r="J755" s="32">
        <v>45248</v>
      </c>
      <c r="K755" s="24">
        <v>0.78</v>
      </c>
      <c r="L755" s="25">
        <f t="shared" si="63"/>
        <v>673</v>
      </c>
      <c r="M755" s="4">
        <f>IF(Table3[[#This Row],[Afrondingsdatum YB]]="N/A","-",Table3[[#This Row],[Afrondingsdatum YB]]-Table3[[#This Row],[StartDatum]])</f>
        <v>45248</v>
      </c>
      <c r="N755" s="4"/>
      <c r="O755">
        <f t="shared" si="65"/>
        <v>109</v>
      </c>
      <c r="P755">
        <f t="shared" si="66"/>
        <v>101</v>
      </c>
      <c r="Q755">
        <f t="shared" si="66"/>
        <v>101</v>
      </c>
      <c r="R755">
        <f t="shared" si="66"/>
        <v>115</v>
      </c>
      <c r="S755">
        <f t="shared" si="66"/>
        <v>46</v>
      </c>
      <c r="T755">
        <f t="shared" si="66"/>
        <v>100</v>
      </c>
      <c r="U755">
        <f t="shared" si="66"/>
        <v>101</v>
      </c>
      <c r="V755">
        <f t="shared" si="66"/>
        <v>46</v>
      </c>
      <c r="W755" s="5">
        <f t="shared" si="67"/>
        <v>784</v>
      </c>
      <c r="X755" s="9" t="str">
        <f t="shared" si="68"/>
        <v>e784</v>
      </c>
    </row>
    <row r="756" spans="1:24" x14ac:dyDescent="0.2">
      <c r="A756" s="9" t="s">
        <v>425</v>
      </c>
      <c r="B756" s="9">
        <v>1</v>
      </c>
      <c r="C756" s="22">
        <v>12</v>
      </c>
      <c r="D756" s="25"/>
      <c r="E756" s="18">
        <v>45250</v>
      </c>
      <c r="F756" s="18" t="s">
        <v>363</v>
      </c>
      <c r="G756" s="20" t="s">
        <v>48</v>
      </c>
      <c r="H756" s="19">
        <v>1</v>
      </c>
      <c r="I756" s="20" t="s">
        <v>189</v>
      </c>
      <c r="J756" s="34">
        <v>45226</v>
      </c>
      <c r="K756" s="19">
        <v>0.8</v>
      </c>
      <c r="L756" s="20">
        <f t="shared" si="63"/>
        <v>675</v>
      </c>
      <c r="M756" s="4">
        <f>IF(Table3[[#This Row],[Afrondingsdatum YB]]="N/A","-",Table3[[#This Row],[Afrondingsdatum YB]]-Table3[[#This Row],[StartDatum]])</f>
        <v>45226</v>
      </c>
      <c r="N756" s="4"/>
      <c r="O756">
        <f t="shared" si="65"/>
        <v>109</v>
      </c>
      <c r="P756">
        <f t="shared" si="66"/>
        <v>105</v>
      </c>
      <c r="Q756">
        <f t="shared" si="66"/>
        <v>108</v>
      </c>
      <c r="R756">
        <f t="shared" si="66"/>
        <v>97</v>
      </c>
      <c r="S756">
        <f t="shared" si="66"/>
        <v>110</v>
      </c>
      <c r="T756">
        <f t="shared" si="66"/>
        <v>46</v>
      </c>
      <c r="U756">
        <f t="shared" si="66"/>
        <v>100</v>
      </c>
      <c r="V756">
        <f t="shared" si="66"/>
        <v>105</v>
      </c>
      <c r="W756" s="5">
        <f t="shared" si="67"/>
        <v>871</v>
      </c>
      <c r="X756" s="9" t="str">
        <f t="shared" si="68"/>
        <v>i871</v>
      </c>
    </row>
    <row r="757" spans="1:24" x14ac:dyDescent="0.2">
      <c r="A757" s="9" t="s">
        <v>425</v>
      </c>
      <c r="B757" s="9">
        <v>1</v>
      </c>
      <c r="C757" s="22">
        <v>12</v>
      </c>
      <c r="D757" s="25"/>
      <c r="E757" s="23">
        <v>45250</v>
      </c>
      <c r="F757" s="23" t="s">
        <v>364</v>
      </c>
      <c r="G757" s="25" t="s">
        <v>49</v>
      </c>
      <c r="H757" s="24">
        <v>1</v>
      </c>
      <c r="I757" s="25" t="s">
        <v>211</v>
      </c>
      <c r="J757" s="32">
        <v>45217</v>
      </c>
      <c r="K757" s="24">
        <v>0.73</v>
      </c>
      <c r="L757" s="25">
        <f t="shared" si="63"/>
        <v>690</v>
      </c>
      <c r="M757" s="4">
        <f>IF(Table3[[#This Row],[Afrondingsdatum YB]]="N/A","-",Table3[[#This Row],[Afrondingsdatum YB]]-Table3[[#This Row],[StartDatum]])</f>
        <v>45217</v>
      </c>
      <c r="N757" s="4"/>
      <c r="O757">
        <f t="shared" si="65"/>
        <v>109</v>
      </c>
      <c r="P757">
        <f t="shared" si="66"/>
        <v>105</v>
      </c>
      <c r="Q757">
        <f t="shared" si="66"/>
        <v>114</v>
      </c>
      <c r="R757">
        <f t="shared" si="66"/>
        <v>110</v>
      </c>
      <c r="S757">
        <f t="shared" si="66"/>
        <v>97</v>
      </c>
      <c r="T757">
        <f t="shared" si="66"/>
        <v>46</v>
      </c>
      <c r="U757">
        <f t="shared" si="66"/>
        <v>109</v>
      </c>
      <c r="V757">
        <f t="shared" si="66"/>
        <v>111</v>
      </c>
      <c r="W757" s="5">
        <f t="shared" si="67"/>
        <v>894</v>
      </c>
      <c r="X757" s="9" t="str">
        <f t="shared" si="68"/>
        <v>i894</v>
      </c>
    </row>
    <row r="758" spans="1:24" x14ac:dyDescent="0.2">
      <c r="A758" s="9" t="s">
        <v>425</v>
      </c>
      <c r="B758" s="9">
        <v>1</v>
      </c>
      <c r="C758" s="22">
        <v>12</v>
      </c>
      <c r="D758" s="25"/>
      <c r="E758" s="18">
        <v>45250</v>
      </c>
      <c r="F758" s="18" t="s">
        <v>364</v>
      </c>
      <c r="G758" s="20" t="s">
        <v>50</v>
      </c>
      <c r="H758" s="19">
        <v>1</v>
      </c>
      <c r="I758" s="20" t="s">
        <v>212</v>
      </c>
      <c r="J758" s="34">
        <v>45217</v>
      </c>
      <c r="K758" s="19">
        <v>0.75</v>
      </c>
      <c r="L758" s="20">
        <f t="shared" si="63"/>
        <v>731</v>
      </c>
      <c r="M758" s="4">
        <f>IF(Table3[[#This Row],[Afrondingsdatum YB]]="N/A","-",Table3[[#This Row],[Afrondingsdatum YB]]-Table3[[#This Row],[StartDatum]])</f>
        <v>45217</v>
      </c>
      <c r="N758" s="4"/>
      <c r="O758">
        <f t="shared" si="65"/>
        <v>109</v>
      </c>
      <c r="P758">
        <f t="shared" si="66"/>
        <v>111</v>
      </c>
      <c r="Q758">
        <f t="shared" si="66"/>
        <v>104</v>
      </c>
      <c r="R758">
        <f t="shared" si="66"/>
        <v>97</v>
      </c>
      <c r="S758">
        <f t="shared" si="66"/>
        <v>109</v>
      </c>
      <c r="T758">
        <f t="shared" si="66"/>
        <v>101</v>
      </c>
      <c r="U758">
        <f t="shared" si="66"/>
        <v>100</v>
      </c>
      <c r="V758">
        <f t="shared" si="66"/>
        <v>46</v>
      </c>
      <c r="W758" s="5">
        <f t="shared" si="67"/>
        <v>857</v>
      </c>
      <c r="X758" s="9" t="str">
        <f t="shared" si="68"/>
        <v>o857</v>
      </c>
    </row>
    <row r="759" spans="1:24" x14ac:dyDescent="0.2">
      <c r="A759" s="9" t="s">
        <v>425</v>
      </c>
      <c r="B759" s="9">
        <v>1</v>
      </c>
      <c r="C759" s="22">
        <v>12</v>
      </c>
      <c r="D759" s="25"/>
      <c r="E759" s="23">
        <v>45250</v>
      </c>
      <c r="F759" s="23" t="s">
        <v>362</v>
      </c>
      <c r="G759" s="25" t="s">
        <v>127</v>
      </c>
      <c r="H759" s="24">
        <v>0.19</v>
      </c>
      <c r="I759" s="25" t="s">
        <v>111</v>
      </c>
      <c r="J759" s="25" t="s">
        <v>7</v>
      </c>
      <c r="K759" s="25" t="s">
        <v>9</v>
      </c>
      <c r="L759" s="25">
        <f t="shared" si="63"/>
        <v>758</v>
      </c>
      <c r="M759" s="4" t="str">
        <f>IF(Table3[[#This Row],[Afrondingsdatum YB]]="N/A","-",Table3[[#This Row],[Afrondingsdatum YB]]-Table3[[#This Row],[StartDatum]])</f>
        <v>-</v>
      </c>
      <c r="N759" s="4"/>
      <c r="O759">
        <f t="shared" si="65"/>
        <v>109</v>
      </c>
      <c r="P759">
        <f t="shared" si="66"/>
        <v>111</v>
      </c>
      <c r="Q759">
        <f t="shared" si="66"/>
        <v>107</v>
      </c>
      <c r="R759">
        <f t="shared" si="66"/>
        <v>104</v>
      </c>
      <c r="S759">
        <f t="shared" si="66"/>
        <v>116</v>
      </c>
      <c r="T759">
        <f t="shared" si="66"/>
        <v>97</v>
      </c>
      <c r="U759">
        <f t="shared" si="66"/>
        <v>114</v>
      </c>
      <c r="V759">
        <f t="shared" si="66"/>
        <v>46</v>
      </c>
      <c r="W759" s="5">
        <f t="shared" si="67"/>
        <v>885</v>
      </c>
      <c r="X759" s="9" t="str">
        <f t="shared" si="68"/>
        <v>o885</v>
      </c>
    </row>
    <row r="760" spans="1:24" x14ac:dyDescent="0.2">
      <c r="A760" s="9" t="s">
        <v>425</v>
      </c>
      <c r="B760" s="9">
        <v>1</v>
      </c>
      <c r="C760" s="22">
        <v>12</v>
      </c>
      <c r="D760" s="25"/>
      <c r="E760" s="18">
        <v>45250</v>
      </c>
      <c r="F760" s="18" t="s">
        <v>363</v>
      </c>
      <c r="G760" s="20" t="s">
        <v>51</v>
      </c>
      <c r="H760" s="19">
        <v>1</v>
      </c>
      <c r="I760" s="20" t="s">
        <v>231</v>
      </c>
      <c r="J760" s="34">
        <v>45228</v>
      </c>
      <c r="K760" s="19">
        <v>0.75</v>
      </c>
      <c r="L760" s="20">
        <f t="shared" si="63"/>
        <v>742</v>
      </c>
      <c r="M760" s="4">
        <f>IF(Table3[[#This Row],[Afrondingsdatum YB]]="N/A","-",Table3[[#This Row],[Afrondingsdatum YB]]-Table3[[#This Row],[StartDatum]])</f>
        <v>45228</v>
      </c>
      <c r="N760" s="4"/>
      <c r="O760">
        <f t="shared" si="65"/>
        <v>110</v>
      </c>
      <c r="P760">
        <f t="shared" si="66"/>
        <v>97</v>
      </c>
      <c r="Q760">
        <f t="shared" si="66"/>
        <v>111</v>
      </c>
      <c r="R760">
        <f t="shared" si="66"/>
        <v>117</v>
      </c>
      <c r="S760">
        <f t="shared" si="66"/>
        <v>102</v>
      </c>
      <c r="T760">
        <f t="shared" si="66"/>
        <v>97</v>
      </c>
      <c r="U760">
        <f t="shared" si="66"/>
        <v>108</v>
      </c>
      <c r="V760">
        <f t="shared" si="66"/>
        <v>46</v>
      </c>
      <c r="W760" s="5">
        <f t="shared" si="67"/>
        <v>874</v>
      </c>
      <c r="X760" s="9" t="str">
        <f t="shared" si="68"/>
        <v>a874</v>
      </c>
    </row>
    <row r="761" spans="1:24" x14ac:dyDescent="0.2">
      <c r="A761" s="9" t="s">
        <v>425</v>
      </c>
      <c r="B761" s="9">
        <v>1</v>
      </c>
      <c r="C761" s="22">
        <v>12</v>
      </c>
      <c r="D761" s="25"/>
      <c r="E761" s="23">
        <v>45250</v>
      </c>
      <c r="F761" s="23" t="s">
        <v>362</v>
      </c>
      <c r="G761" s="25" t="s">
        <v>52</v>
      </c>
      <c r="H761" s="24">
        <v>1</v>
      </c>
      <c r="I761" s="25" t="s">
        <v>145</v>
      </c>
      <c r="J761" s="32">
        <v>45238</v>
      </c>
      <c r="K761" s="24">
        <v>0.8</v>
      </c>
      <c r="L761" s="25">
        <f t="shared" si="63"/>
        <v>684</v>
      </c>
      <c r="M761" s="4">
        <f>IF(Table3[[#This Row],[Afrondingsdatum YB]]="N/A","-",Table3[[#This Row],[Afrondingsdatum YB]]-Table3[[#This Row],[StartDatum]])</f>
        <v>45238</v>
      </c>
      <c r="N761" s="4"/>
      <c r="O761">
        <f t="shared" si="65"/>
        <v>110</v>
      </c>
      <c r="P761">
        <f t="shared" si="66"/>
        <v>105</v>
      </c>
      <c r="Q761">
        <f t="shared" si="66"/>
        <v>99</v>
      </c>
      <c r="R761">
        <f t="shared" si="66"/>
        <v>107</v>
      </c>
      <c r="S761">
        <f t="shared" si="66"/>
        <v>46</v>
      </c>
      <c r="T761">
        <f t="shared" si="66"/>
        <v>106</v>
      </c>
      <c r="U761">
        <f t="shared" si="66"/>
        <v>111</v>
      </c>
      <c r="V761">
        <f t="shared" si="66"/>
        <v>111</v>
      </c>
      <c r="W761" s="5">
        <f t="shared" si="67"/>
        <v>860</v>
      </c>
      <c r="X761" s="9" t="str">
        <f t="shared" si="68"/>
        <v>i860</v>
      </c>
    </row>
    <row r="762" spans="1:24" x14ac:dyDescent="0.2">
      <c r="A762" s="9" t="s">
        <v>425</v>
      </c>
      <c r="B762" s="9">
        <v>1</v>
      </c>
      <c r="C762" s="22">
        <v>12</v>
      </c>
      <c r="D762" s="25"/>
      <c r="E762" s="18">
        <v>45250</v>
      </c>
      <c r="F762" s="18" t="s">
        <v>364</v>
      </c>
      <c r="G762" s="20" t="s">
        <v>53</v>
      </c>
      <c r="H762" s="19">
        <v>1</v>
      </c>
      <c r="I762" s="20" t="s">
        <v>194</v>
      </c>
      <c r="J762" s="34">
        <v>45234</v>
      </c>
      <c r="K762" s="19">
        <v>0.78</v>
      </c>
      <c r="L762" s="20">
        <f t="shared" si="63"/>
        <v>737</v>
      </c>
      <c r="M762" s="4">
        <f>IF(Table3[[#This Row],[Afrondingsdatum YB]]="N/A","-",Table3[[#This Row],[Afrondingsdatum YB]]-Table3[[#This Row],[StartDatum]])</f>
        <v>45234</v>
      </c>
      <c r="N762" s="4"/>
      <c r="O762">
        <f t="shared" si="65"/>
        <v>110</v>
      </c>
      <c r="P762">
        <f t="shared" si="66"/>
        <v>105</v>
      </c>
      <c r="Q762">
        <f t="shared" si="66"/>
        <v>99</v>
      </c>
      <c r="R762">
        <f t="shared" si="66"/>
        <v>107</v>
      </c>
      <c r="S762">
        <f t="shared" si="66"/>
        <v>111</v>
      </c>
      <c r="T762">
        <f t="shared" si="66"/>
        <v>108</v>
      </c>
      <c r="U762">
        <f t="shared" si="66"/>
        <v>97</v>
      </c>
      <c r="V762">
        <f t="shared" si="66"/>
        <v>115</v>
      </c>
      <c r="W762" s="5">
        <f t="shared" si="67"/>
        <v>917</v>
      </c>
      <c r="X762" s="9" t="str">
        <f t="shared" si="68"/>
        <v>i917</v>
      </c>
    </row>
    <row r="763" spans="1:24" x14ac:dyDescent="0.2">
      <c r="A763" s="9" t="s">
        <v>425</v>
      </c>
      <c r="B763" s="9">
        <v>1</v>
      </c>
      <c r="C763" s="22">
        <v>12</v>
      </c>
      <c r="D763" s="25"/>
      <c r="E763" s="23">
        <v>45250</v>
      </c>
      <c r="F763" s="23" t="s">
        <v>364</v>
      </c>
      <c r="G763" s="25" t="s">
        <v>54</v>
      </c>
      <c r="H763" s="24">
        <v>1</v>
      </c>
      <c r="I763" s="25" t="s">
        <v>265</v>
      </c>
      <c r="J763" s="32">
        <v>45242</v>
      </c>
      <c r="K763" s="24">
        <v>0.73</v>
      </c>
      <c r="L763" s="25">
        <f t="shared" si="63"/>
        <v>705</v>
      </c>
      <c r="M763" s="4">
        <f>IF(Table3[[#This Row],[Afrondingsdatum YB]]="N/A","-",Table3[[#This Row],[Afrondingsdatum YB]]-Table3[[#This Row],[StartDatum]])</f>
        <v>45242</v>
      </c>
      <c r="N763" s="4"/>
      <c r="O763">
        <f t="shared" si="65"/>
        <v>110</v>
      </c>
      <c r="P763">
        <f t="shared" si="66"/>
        <v>105</v>
      </c>
      <c r="Q763">
        <f t="shared" si="66"/>
        <v>115</v>
      </c>
      <c r="R763">
        <f t="shared" si="66"/>
        <v>114</v>
      </c>
      <c r="S763">
        <f t="shared" si="66"/>
        <v>105</v>
      </c>
      <c r="T763">
        <f t="shared" si="66"/>
        <v>110</v>
      </c>
      <c r="U763">
        <f t="shared" si="66"/>
        <v>46</v>
      </c>
      <c r="V763">
        <f t="shared" si="66"/>
        <v>104</v>
      </c>
      <c r="W763" s="5">
        <f t="shared" si="67"/>
        <v>901</v>
      </c>
      <c r="X763" s="9" t="str">
        <f t="shared" si="68"/>
        <v>i901</v>
      </c>
    </row>
    <row r="764" spans="1:24" x14ac:dyDescent="0.2">
      <c r="A764" s="9" t="s">
        <v>425</v>
      </c>
      <c r="B764" s="9">
        <v>1</v>
      </c>
      <c r="C764" s="22">
        <v>12</v>
      </c>
      <c r="D764" s="25"/>
      <c r="E764" s="18">
        <v>45250</v>
      </c>
      <c r="F764" s="18" t="s">
        <v>364</v>
      </c>
      <c r="G764" s="20" t="s">
        <v>55</v>
      </c>
      <c r="H764" s="19">
        <v>1</v>
      </c>
      <c r="I764" s="20" t="s">
        <v>214</v>
      </c>
      <c r="J764" s="34">
        <v>45217</v>
      </c>
      <c r="K764" s="19">
        <v>0.95</v>
      </c>
      <c r="L764" s="20">
        <f t="shared" si="63"/>
        <v>681</v>
      </c>
      <c r="M764" s="4">
        <f>IF(Table3[[#This Row],[Afrondingsdatum YB]]="N/A","-",Table3[[#This Row],[Afrondingsdatum YB]]-Table3[[#This Row],[StartDatum]])</f>
        <v>45217</v>
      </c>
      <c r="N764" s="4"/>
      <c r="O764">
        <f t="shared" si="65"/>
        <v>110</v>
      </c>
      <c r="P764">
        <f t="shared" si="66"/>
        <v>111</v>
      </c>
      <c r="Q764">
        <f t="shared" si="66"/>
        <v>101</v>
      </c>
      <c r="R764">
        <f t="shared" si="66"/>
        <v>108</v>
      </c>
      <c r="S764">
        <f t="shared" si="66"/>
        <v>108</v>
      </c>
      <c r="T764">
        <f t="shared" si="66"/>
        <v>97</v>
      </c>
      <c r="U764">
        <f t="shared" si="66"/>
        <v>46</v>
      </c>
      <c r="V764">
        <f t="shared" si="66"/>
        <v>108</v>
      </c>
      <c r="W764" s="5">
        <f t="shared" si="67"/>
        <v>855</v>
      </c>
      <c r="X764" s="9" t="str">
        <f t="shared" si="68"/>
        <v>o855</v>
      </c>
    </row>
    <row r="765" spans="1:24" x14ac:dyDescent="0.2">
      <c r="A765" s="9" t="s">
        <v>425</v>
      </c>
      <c r="B765" s="9">
        <v>1</v>
      </c>
      <c r="C765" s="22">
        <v>12</v>
      </c>
      <c r="D765" s="25"/>
      <c r="E765" s="23">
        <v>45250</v>
      </c>
      <c r="F765" s="23" t="s">
        <v>363</v>
      </c>
      <c r="G765" s="25" t="s">
        <v>56</v>
      </c>
      <c r="H765" s="24">
        <v>1</v>
      </c>
      <c r="I765" s="25" t="s">
        <v>232</v>
      </c>
      <c r="J765" s="32">
        <v>45228</v>
      </c>
      <c r="K765" s="24">
        <v>0.83</v>
      </c>
      <c r="L765" s="25">
        <f t="shared" si="63"/>
        <v>708</v>
      </c>
      <c r="M765" s="4">
        <f>IF(Table3[[#This Row],[Afrondingsdatum YB]]="N/A","-",Table3[[#This Row],[Afrondingsdatum YB]]-Table3[[#This Row],[StartDatum]])</f>
        <v>45228</v>
      </c>
      <c r="N765" s="4"/>
      <c r="O765">
        <f t="shared" si="65"/>
        <v>110</v>
      </c>
      <c r="P765">
        <f t="shared" si="66"/>
        <v>117</v>
      </c>
      <c r="Q765">
        <f t="shared" si="66"/>
        <v>112</v>
      </c>
      <c r="R765">
        <f t="shared" si="66"/>
        <v>101</v>
      </c>
      <c r="S765">
        <f t="shared" si="66"/>
        <v>108</v>
      </c>
      <c r="T765">
        <f t="shared" si="66"/>
        <v>46</v>
      </c>
      <c r="U765">
        <f t="shared" si="66"/>
        <v>114</v>
      </c>
      <c r="V765">
        <f t="shared" si="66"/>
        <v>117</v>
      </c>
      <c r="W765" s="5">
        <f t="shared" si="67"/>
        <v>915</v>
      </c>
      <c r="X765" s="9" t="str">
        <f t="shared" si="68"/>
        <v>u915</v>
      </c>
    </row>
    <row r="766" spans="1:24" x14ac:dyDescent="0.2">
      <c r="A766" s="9" t="s">
        <v>425</v>
      </c>
      <c r="B766" s="9">
        <v>1</v>
      </c>
      <c r="C766" s="22">
        <v>12</v>
      </c>
      <c r="D766" s="25"/>
      <c r="E766" s="18">
        <v>45250</v>
      </c>
      <c r="F766" s="18" t="s">
        <v>364</v>
      </c>
      <c r="G766" s="20" t="s">
        <v>57</v>
      </c>
      <c r="H766" s="19">
        <v>1</v>
      </c>
      <c r="I766" s="20" t="s">
        <v>233</v>
      </c>
      <c r="J766" s="34">
        <v>45228</v>
      </c>
      <c r="K766" s="19">
        <v>0.73</v>
      </c>
      <c r="L766" s="20">
        <f t="shared" si="63"/>
        <v>762</v>
      </c>
      <c r="M766" s="4">
        <f>IF(Table3[[#This Row],[Afrondingsdatum YB]]="N/A","-",Table3[[#This Row],[Afrondingsdatum YB]]-Table3[[#This Row],[StartDatum]])</f>
        <v>45228</v>
      </c>
      <c r="N766" s="4"/>
      <c r="O766">
        <f t="shared" si="65"/>
        <v>111</v>
      </c>
      <c r="P766">
        <f t="shared" si="66"/>
        <v>108</v>
      </c>
      <c r="Q766">
        <f t="shared" si="66"/>
        <v>105</v>
      </c>
      <c r="R766">
        <f t="shared" si="66"/>
        <v>118</v>
      </c>
      <c r="S766">
        <f t="shared" si="66"/>
        <v>105</v>
      </c>
      <c r="T766">
        <f t="shared" si="66"/>
        <v>101</v>
      </c>
      <c r="U766">
        <f t="shared" si="66"/>
        <v>114</v>
      </c>
      <c r="V766">
        <f t="shared" si="66"/>
        <v>46</v>
      </c>
      <c r="W766" s="5">
        <f t="shared" si="67"/>
        <v>876</v>
      </c>
      <c r="X766" s="9" t="str">
        <f t="shared" si="68"/>
        <v>l876</v>
      </c>
    </row>
    <row r="767" spans="1:24" x14ac:dyDescent="0.2">
      <c r="A767" s="9" t="s">
        <v>425</v>
      </c>
      <c r="B767" s="9">
        <v>1</v>
      </c>
      <c r="C767" s="22">
        <v>12</v>
      </c>
      <c r="D767" s="25"/>
      <c r="E767" s="23">
        <v>45250</v>
      </c>
      <c r="F767" s="23" t="s">
        <v>362</v>
      </c>
      <c r="G767" s="25" t="s">
        <v>58</v>
      </c>
      <c r="H767" s="24">
        <v>1</v>
      </c>
      <c r="I767" s="25" t="s">
        <v>266</v>
      </c>
      <c r="J767" s="32">
        <v>45237</v>
      </c>
      <c r="K767" s="24">
        <v>0.9</v>
      </c>
      <c r="L767" s="25">
        <f t="shared" si="63"/>
        <v>681</v>
      </c>
      <c r="M767" s="4">
        <f>IF(Table3[[#This Row],[Afrondingsdatum YB]]="N/A","-",Table3[[#This Row],[Afrondingsdatum YB]]-Table3[[#This Row],[StartDatum]])</f>
        <v>45237</v>
      </c>
      <c r="N767" s="4"/>
      <c r="O767">
        <f t="shared" si="65"/>
        <v>112</v>
      </c>
      <c r="P767">
        <f t="shared" si="66"/>
        <v>97</v>
      </c>
      <c r="Q767">
        <f t="shared" si="66"/>
        <v>117</v>
      </c>
      <c r="R767">
        <f t="shared" si="66"/>
        <v>108</v>
      </c>
      <c r="S767">
        <f t="shared" si="66"/>
        <v>46</v>
      </c>
      <c r="T767">
        <f t="shared" si="66"/>
        <v>100</v>
      </c>
      <c r="U767">
        <f t="shared" si="66"/>
        <v>101</v>
      </c>
      <c r="V767">
        <f t="shared" si="66"/>
        <v>46</v>
      </c>
      <c r="W767" s="5">
        <f t="shared" si="67"/>
        <v>832</v>
      </c>
      <c r="X767" s="9" t="str">
        <f t="shared" si="68"/>
        <v>a832</v>
      </c>
    </row>
    <row r="768" spans="1:24" x14ac:dyDescent="0.2">
      <c r="A768" s="9" t="s">
        <v>425</v>
      </c>
      <c r="B768" s="9">
        <v>1</v>
      </c>
      <c r="C768" s="22">
        <v>12</v>
      </c>
      <c r="D768" s="25"/>
      <c r="E768" s="18">
        <v>45250</v>
      </c>
      <c r="F768" s="18" t="s">
        <v>364</v>
      </c>
      <c r="G768" s="20" t="s">
        <v>59</v>
      </c>
      <c r="H768" s="19">
        <v>1</v>
      </c>
      <c r="I768" s="20" t="s">
        <v>148</v>
      </c>
      <c r="J768" s="34">
        <v>45236</v>
      </c>
      <c r="K768" s="19">
        <v>0.78</v>
      </c>
      <c r="L768" s="20">
        <f t="shared" si="63"/>
        <v>695</v>
      </c>
      <c r="M768" s="4">
        <f>IF(Table3[[#This Row],[Afrondingsdatum YB]]="N/A","-",Table3[[#This Row],[Afrondingsdatum YB]]-Table3[[#This Row],[StartDatum]])</f>
        <v>45236</v>
      </c>
      <c r="N768" s="4"/>
      <c r="O768">
        <f t="shared" si="65"/>
        <v>112</v>
      </c>
      <c r="P768">
        <f t="shared" si="66"/>
        <v>105</v>
      </c>
      <c r="Q768">
        <f t="shared" si="66"/>
        <v>101</v>
      </c>
      <c r="R768">
        <f t="shared" si="66"/>
        <v>116</v>
      </c>
      <c r="S768">
        <f t="shared" si="66"/>
        <v>101</v>
      </c>
      <c r="T768">
        <f t="shared" si="66"/>
        <v>114</v>
      </c>
      <c r="U768">
        <f t="shared" si="66"/>
        <v>46</v>
      </c>
      <c r="V768">
        <f t="shared" si="66"/>
        <v>109</v>
      </c>
      <c r="W768" s="5">
        <f t="shared" si="67"/>
        <v>867</v>
      </c>
      <c r="X768" s="9" t="str">
        <f t="shared" si="68"/>
        <v>i867</v>
      </c>
    </row>
    <row r="769" spans="1:24" x14ac:dyDescent="0.2">
      <c r="A769" s="9" t="s">
        <v>425</v>
      </c>
      <c r="B769" s="9">
        <v>1</v>
      </c>
      <c r="C769" s="22">
        <v>12</v>
      </c>
      <c r="D769" s="25"/>
      <c r="E769" s="23">
        <v>45250</v>
      </c>
      <c r="F769" s="23" t="s">
        <v>362</v>
      </c>
      <c r="G769" s="25" t="s">
        <v>60</v>
      </c>
      <c r="H769" s="24">
        <v>1</v>
      </c>
      <c r="I769" s="25" t="s">
        <v>72</v>
      </c>
      <c r="J769" s="32">
        <v>45222</v>
      </c>
      <c r="K769" s="24">
        <v>0.8</v>
      </c>
      <c r="L769" s="25">
        <f t="shared" si="63"/>
        <v>703</v>
      </c>
      <c r="M769" s="4">
        <f>IF(Table3[[#This Row],[Afrondingsdatum YB]]="N/A","-",Table3[[#This Row],[Afrondingsdatum YB]]-Table3[[#This Row],[StartDatum]])</f>
        <v>45222</v>
      </c>
      <c r="N769" s="4"/>
      <c r="O769">
        <f t="shared" si="65"/>
        <v>114</v>
      </c>
      <c r="P769">
        <f t="shared" si="66"/>
        <v>101</v>
      </c>
      <c r="Q769">
        <f t="shared" si="66"/>
        <v>110</v>
      </c>
      <c r="R769">
        <f t="shared" si="66"/>
        <v>115</v>
      </c>
      <c r="S769">
        <f t="shared" si="66"/>
        <v>46</v>
      </c>
      <c r="T769">
        <f t="shared" si="66"/>
        <v>103</v>
      </c>
      <c r="U769">
        <f t="shared" si="66"/>
        <v>114</v>
      </c>
      <c r="V769">
        <f t="shared" si="66"/>
        <v>111</v>
      </c>
      <c r="W769" s="5">
        <f t="shared" si="67"/>
        <v>897</v>
      </c>
      <c r="X769" s="9" t="str">
        <f t="shared" si="68"/>
        <v>e897</v>
      </c>
    </row>
    <row r="770" spans="1:24" x14ac:dyDescent="0.2">
      <c r="A770" s="9" t="s">
        <v>425</v>
      </c>
      <c r="B770" s="9">
        <v>1</v>
      </c>
      <c r="C770" s="22">
        <v>12</v>
      </c>
      <c r="D770" s="25"/>
      <c r="E770" s="18">
        <v>45250</v>
      </c>
      <c r="F770" s="18" t="s">
        <v>363</v>
      </c>
      <c r="G770" s="20" t="s">
        <v>61</v>
      </c>
      <c r="H770" s="19">
        <v>1</v>
      </c>
      <c r="I770" s="20" t="s">
        <v>86</v>
      </c>
      <c r="J770" s="34">
        <v>45228</v>
      </c>
      <c r="K770" s="19">
        <v>0.75</v>
      </c>
      <c r="L770" s="20">
        <f t="shared" ref="L770:L833" si="69">SUM(O770:U770)</f>
        <v>697</v>
      </c>
      <c r="M770" s="4">
        <f>IF(Table3[[#This Row],[Afrondingsdatum YB]]="N/A","-",Table3[[#This Row],[Afrondingsdatum YB]]-Table3[[#This Row],[StartDatum]])</f>
        <v>45228</v>
      </c>
      <c r="N770" s="4"/>
      <c r="O770">
        <f t="shared" si="65"/>
        <v>114</v>
      </c>
      <c r="P770">
        <f t="shared" si="66"/>
        <v>111</v>
      </c>
      <c r="Q770">
        <f t="shared" si="66"/>
        <v>119</v>
      </c>
      <c r="R770">
        <f t="shared" si="66"/>
        <v>97</v>
      </c>
      <c r="S770">
        <f t="shared" si="66"/>
        <v>110</v>
      </c>
      <c r="T770">
        <f t="shared" si="66"/>
        <v>46</v>
      </c>
      <c r="U770">
        <f t="shared" si="66"/>
        <v>100</v>
      </c>
      <c r="V770">
        <f t="shared" si="66"/>
        <v>101</v>
      </c>
      <c r="W770" s="5">
        <f t="shared" si="67"/>
        <v>908</v>
      </c>
      <c r="X770" s="9" t="str">
        <f t="shared" si="68"/>
        <v>o908</v>
      </c>
    </row>
    <row r="771" spans="1:24" x14ac:dyDescent="0.2">
      <c r="A771" s="9" t="s">
        <v>425</v>
      </c>
      <c r="B771" s="9">
        <v>1</v>
      </c>
      <c r="C771" s="22">
        <v>12</v>
      </c>
      <c r="D771" s="25"/>
      <c r="E771" s="23">
        <v>45250</v>
      </c>
      <c r="F771" s="23" t="s">
        <v>363</v>
      </c>
      <c r="G771" s="25" t="s">
        <v>84</v>
      </c>
      <c r="H771" s="24">
        <v>1</v>
      </c>
      <c r="I771" s="25" t="s">
        <v>176</v>
      </c>
      <c r="J771" s="32">
        <v>45231</v>
      </c>
      <c r="K771" s="24">
        <v>0.83</v>
      </c>
      <c r="L771" s="25">
        <f t="shared" si="69"/>
        <v>683</v>
      </c>
      <c r="M771" s="4">
        <f>IF(Table3[[#This Row],[Afrondingsdatum YB]]="N/A","-",Table3[[#This Row],[Afrondingsdatum YB]]-Table3[[#This Row],[StartDatum]])</f>
        <v>45231</v>
      </c>
      <c r="N771" s="4"/>
      <c r="O771">
        <f t="shared" ref="O771:O834" si="70">CODE(MID($G771,O$1,1))</f>
        <v>115</v>
      </c>
      <c r="P771">
        <f t="shared" si="66"/>
        <v>97</v>
      </c>
      <c r="Q771">
        <f t="shared" si="66"/>
        <v>110</v>
      </c>
      <c r="R771">
        <f t="shared" si="66"/>
        <v>100</v>
      </c>
      <c r="S771">
        <f t="shared" si="66"/>
        <v>101</v>
      </c>
      <c r="T771">
        <f t="shared" si="66"/>
        <v>114</v>
      </c>
      <c r="U771">
        <f t="shared" si="66"/>
        <v>46</v>
      </c>
      <c r="V771">
        <f t="shared" si="66"/>
        <v>98</v>
      </c>
      <c r="W771" s="5">
        <f t="shared" si="67"/>
        <v>878</v>
      </c>
      <c r="X771" s="9" t="str">
        <f t="shared" si="68"/>
        <v>a878</v>
      </c>
    </row>
    <row r="772" spans="1:24" x14ac:dyDescent="0.2">
      <c r="A772" s="9" t="s">
        <v>425</v>
      </c>
      <c r="B772" s="9">
        <v>1</v>
      </c>
      <c r="C772" s="22">
        <v>12</v>
      </c>
      <c r="D772" s="25"/>
      <c r="E772" s="18">
        <v>45250</v>
      </c>
      <c r="F772" s="18" t="s">
        <v>363</v>
      </c>
      <c r="G772" s="20" t="s">
        <v>62</v>
      </c>
      <c r="H772" s="19">
        <v>1</v>
      </c>
      <c r="I772" s="20" t="s">
        <v>162</v>
      </c>
      <c r="J772" s="34">
        <v>45202</v>
      </c>
      <c r="K772" s="19">
        <v>0.75</v>
      </c>
      <c r="L772" s="20">
        <f t="shared" si="69"/>
        <v>670</v>
      </c>
      <c r="M772" s="4">
        <f>IF(Table3[[#This Row],[Afrondingsdatum YB]]="N/A","-",Table3[[#This Row],[Afrondingsdatum YB]]-Table3[[#This Row],[StartDatum]])</f>
        <v>45202</v>
      </c>
      <c r="N772" s="4"/>
      <c r="O772">
        <f t="shared" si="70"/>
        <v>115</v>
      </c>
      <c r="P772">
        <f t="shared" si="66"/>
        <v>97</v>
      </c>
      <c r="Q772">
        <f t="shared" si="66"/>
        <v>114</v>
      </c>
      <c r="R772">
        <f t="shared" si="66"/>
        <v>97</v>
      </c>
      <c r="S772">
        <f t="shared" si="66"/>
        <v>46</v>
      </c>
      <c r="T772">
        <f t="shared" si="66"/>
        <v>100</v>
      </c>
      <c r="U772">
        <f t="shared" si="66"/>
        <v>101</v>
      </c>
      <c r="V772">
        <f t="shared" si="66"/>
        <v>46</v>
      </c>
      <c r="W772" s="5">
        <f t="shared" si="67"/>
        <v>823</v>
      </c>
      <c r="X772" s="9" t="str">
        <f t="shared" si="68"/>
        <v>a823</v>
      </c>
    </row>
    <row r="773" spans="1:24" x14ac:dyDescent="0.2">
      <c r="A773" s="9" t="s">
        <v>425</v>
      </c>
      <c r="B773" s="9">
        <v>1</v>
      </c>
      <c r="C773" s="22">
        <v>12</v>
      </c>
      <c r="D773" s="25"/>
      <c r="E773" s="23">
        <v>45250</v>
      </c>
      <c r="F773" s="23" t="s">
        <v>362</v>
      </c>
      <c r="G773" s="25" t="s">
        <v>131</v>
      </c>
      <c r="H773" s="24">
        <v>1</v>
      </c>
      <c r="I773" s="25" t="s">
        <v>249</v>
      </c>
      <c r="J773" s="32">
        <v>45239</v>
      </c>
      <c r="K773" s="24">
        <v>0.9</v>
      </c>
      <c r="L773" s="25">
        <f t="shared" si="69"/>
        <v>675</v>
      </c>
      <c r="M773" s="4">
        <f>IF(Table3[[#This Row],[Afrondingsdatum YB]]="N/A","-",Table3[[#This Row],[Afrondingsdatum YB]]-Table3[[#This Row],[StartDatum]])</f>
        <v>45239</v>
      </c>
      <c r="N773" s="4"/>
      <c r="O773">
        <f t="shared" si="70"/>
        <v>115</v>
      </c>
      <c r="P773">
        <f t="shared" si="66"/>
        <v>97</v>
      </c>
      <c r="Q773">
        <f t="shared" si="66"/>
        <v>114</v>
      </c>
      <c r="R773">
        <f t="shared" si="66"/>
        <v>97</v>
      </c>
      <c r="S773">
        <f t="shared" si="66"/>
        <v>104</v>
      </c>
      <c r="T773">
        <f t="shared" si="66"/>
        <v>46</v>
      </c>
      <c r="U773">
        <f t="shared" si="66"/>
        <v>102</v>
      </c>
      <c r="V773">
        <f t="shared" si="66"/>
        <v>97</v>
      </c>
      <c r="W773" s="5">
        <f t="shared" si="67"/>
        <v>879</v>
      </c>
      <c r="X773" s="9" t="str">
        <f t="shared" si="68"/>
        <v>a879</v>
      </c>
    </row>
    <row r="774" spans="1:24" x14ac:dyDescent="0.2">
      <c r="A774" s="9" t="s">
        <v>425</v>
      </c>
      <c r="B774" s="9">
        <v>1</v>
      </c>
      <c r="C774" s="22">
        <v>12</v>
      </c>
      <c r="D774" s="25"/>
      <c r="E774" s="18">
        <v>45250</v>
      </c>
      <c r="F774" s="18" t="s">
        <v>364</v>
      </c>
      <c r="G774" s="20" t="s">
        <v>108</v>
      </c>
      <c r="H774" s="19">
        <v>1</v>
      </c>
      <c r="I774" s="20" t="s">
        <v>267</v>
      </c>
      <c r="J774" s="34">
        <v>45236</v>
      </c>
      <c r="K774" s="19">
        <v>0.88</v>
      </c>
      <c r="L774" s="20">
        <f t="shared" si="69"/>
        <v>760</v>
      </c>
      <c r="M774" s="4">
        <f>IF(Table3[[#This Row],[Afrondingsdatum YB]]="N/A","-",Table3[[#This Row],[Afrondingsdatum YB]]-Table3[[#This Row],[StartDatum]])</f>
        <v>45236</v>
      </c>
      <c r="N774" s="4"/>
      <c r="O774">
        <f t="shared" si="70"/>
        <v>115</v>
      </c>
      <c r="P774">
        <f t="shared" si="66"/>
        <v>97</v>
      </c>
      <c r="Q774">
        <f t="shared" si="66"/>
        <v>118</v>
      </c>
      <c r="R774">
        <f t="shared" si="66"/>
        <v>101</v>
      </c>
      <c r="S774">
        <f t="shared" si="66"/>
        <v>114</v>
      </c>
      <c r="T774">
        <f t="shared" si="66"/>
        <v>105</v>
      </c>
      <c r="U774">
        <f t="shared" si="66"/>
        <v>110</v>
      </c>
      <c r="V774">
        <f t="shared" si="66"/>
        <v>105</v>
      </c>
      <c r="W774" s="5">
        <f t="shared" si="67"/>
        <v>977</v>
      </c>
      <c r="X774" s="9" t="str">
        <f t="shared" si="68"/>
        <v>a977</v>
      </c>
    </row>
    <row r="775" spans="1:24" x14ac:dyDescent="0.2">
      <c r="A775" s="9" t="s">
        <v>425</v>
      </c>
      <c r="B775" s="9">
        <v>1</v>
      </c>
      <c r="C775" s="22">
        <v>12</v>
      </c>
      <c r="D775" s="25"/>
      <c r="E775" s="23">
        <v>45250</v>
      </c>
      <c r="F775" s="23" t="s">
        <v>364</v>
      </c>
      <c r="G775" s="25" t="s">
        <v>109</v>
      </c>
      <c r="H775" s="24">
        <v>0.99</v>
      </c>
      <c r="I775" s="25" t="s">
        <v>268</v>
      </c>
      <c r="J775" s="25" t="s">
        <v>7</v>
      </c>
      <c r="K775" s="25" t="s">
        <v>9</v>
      </c>
      <c r="L775" s="25">
        <f t="shared" si="69"/>
        <v>696</v>
      </c>
      <c r="M775" s="4" t="str">
        <f>IF(Table3[[#This Row],[Afrondingsdatum YB]]="N/A","-",Table3[[#This Row],[Afrondingsdatum YB]]-Table3[[#This Row],[StartDatum]])</f>
        <v>-</v>
      </c>
      <c r="N775" s="4"/>
      <c r="O775">
        <f t="shared" si="70"/>
        <v>115</v>
      </c>
      <c r="P775">
        <f t="shared" si="66"/>
        <v>101</v>
      </c>
      <c r="Q775">
        <f t="shared" si="66"/>
        <v>109</v>
      </c>
      <c r="R775">
        <f t="shared" si="66"/>
        <v>46</v>
      </c>
      <c r="S775">
        <f t="shared" si="66"/>
        <v>118</v>
      </c>
      <c r="T775">
        <f t="shared" si="66"/>
        <v>97</v>
      </c>
      <c r="U775">
        <f t="shared" si="66"/>
        <v>110</v>
      </c>
      <c r="V775">
        <f t="shared" si="66"/>
        <v>46</v>
      </c>
      <c r="W775" s="5">
        <f t="shared" si="67"/>
        <v>875</v>
      </c>
      <c r="X775" s="9" t="str">
        <f t="shared" si="68"/>
        <v>e875</v>
      </c>
    </row>
    <row r="776" spans="1:24" x14ac:dyDescent="0.2">
      <c r="A776" s="9" t="s">
        <v>425</v>
      </c>
      <c r="B776" s="9">
        <v>1</v>
      </c>
      <c r="C776" s="22">
        <v>12</v>
      </c>
      <c r="D776" s="25"/>
      <c r="E776" s="18">
        <v>45250</v>
      </c>
      <c r="F776" s="18" t="s">
        <v>362</v>
      </c>
      <c r="G776" s="20" t="s">
        <v>63</v>
      </c>
      <c r="H776" s="19">
        <v>0.91</v>
      </c>
      <c r="I776" s="20" t="s">
        <v>193</v>
      </c>
      <c r="J776" s="20" t="s">
        <v>7</v>
      </c>
      <c r="K776" s="20" t="s">
        <v>9</v>
      </c>
      <c r="L776" s="20">
        <f t="shared" si="69"/>
        <v>673</v>
      </c>
      <c r="M776" s="4" t="str">
        <f>IF(Table3[[#This Row],[Afrondingsdatum YB]]="N/A","-",Table3[[#This Row],[Afrondingsdatum YB]]-Table3[[#This Row],[StartDatum]])</f>
        <v>-</v>
      </c>
      <c r="N776" s="4"/>
      <c r="O776">
        <f t="shared" si="70"/>
        <v>83</v>
      </c>
      <c r="P776">
        <f t="shared" si="66"/>
        <v>121</v>
      </c>
      <c r="Q776">
        <f t="shared" si="66"/>
        <v>98</v>
      </c>
      <c r="R776">
        <f t="shared" si="66"/>
        <v>114</v>
      </c>
      <c r="S776">
        <f t="shared" si="66"/>
        <v>101</v>
      </c>
      <c r="T776">
        <f t="shared" si="66"/>
        <v>110</v>
      </c>
      <c r="U776">
        <f t="shared" si="66"/>
        <v>46</v>
      </c>
      <c r="V776">
        <f t="shared" si="66"/>
        <v>104</v>
      </c>
      <c r="W776" s="5">
        <f t="shared" si="67"/>
        <v>827</v>
      </c>
      <c r="X776" s="9" t="str">
        <f t="shared" si="68"/>
        <v>y827</v>
      </c>
    </row>
    <row r="777" spans="1:24" x14ac:dyDescent="0.2">
      <c r="A777" s="9" t="s">
        <v>425</v>
      </c>
      <c r="B777" s="9">
        <v>1</v>
      </c>
      <c r="C777" s="22">
        <v>12</v>
      </c>
      <c r="D777" s="25"/>
      <c r="E777" s="23">
        <v>45250</v>
      </c>
      <c r="F777" s="23" t="s">
        <v>363</v>
      </c>
      <c r="G777" s="25" t="s">
        <v>64</v>
      </c>
      <c r="H777" s="24">
        <v>1</v>
      </c>
      <c r="I777" s="25" t="s">
        <v>159</v>
      </c>
      <c r="J777" s="32">
        <v>45226</v>
      </c>
      <c r="K777" s="24">
        <v>0.75</v>
      </c>
      <c r="L777" s="25">
        <f t="shared" si="69"/>
        <v>709</v>
      </c>
      <c r="M777" s="4">
        <f>IF(Table3[[#This Row],[Afrondingsdatum YB]]="N/A","-",Table3[[#This Row],[Afrondingsdatum YB]]-Table3[[#This Row],[StartDatum]])</f>
        <v>45226</v>
      </c>
      <c r="N777" s="4"/>
      <c r="O777">
        <f t="shared" si="70"/>
        <v>116</v>
      </c>
      <c r="P777">
        <f t="shared" si="66"/>
        <v>101</v>
      </c>
      <c r="Q777">
        <f t="shared" si="66"/>
        <v>117</v>
      </c>
      <c r="R777">
        <f t="shared" si="66"/>
        <v>110</v>
      </c>
      <c r="S777">
        <f t="shared" si="66"/>
        <v>46</v>
      </c>
      <c r="T777">
        <f t="shared" si="66"/>
        <v>114</v>
      </c>
      <c r="U777">
        <f t="shared" si="66"/>
        <v>105</v>
      </c>
      <c r="V777">
        <f t="shared" si="66"/>
        <v>110</v>
      </c>
      <c r="W777" s="5">
        <f t="shared" si="67"/>
        <v>920</v>
      </c>
      <c r="X777" s="9" t="str">
        <f t="shared" si="68"/>
        <v>e920</v>
      </c>
    </row>
    <row r="778" spans="1:24" x14ac:dyDescent="0.2">
      <c r="A778" s="9" t="s">
        <v>425</v>
      </c>
      <c r="B778" s="9">
        <v>1</v>
      </c>
      <c r="C778" s="22">
        <v>12</v>
      </c>
      <c r="D778" s="25"/>
      <c r="E778" s="18">
        <v>45250</v>
      </c>
      <c r="F778" s="18" t="s">
        <v>362</v>
      </c>
      <c r="G778" s="20" t="s">
        <v>132</v>
      </c>
      <c r="H778" s="19">
        <v>1</v>
      </c>
      <c r="I778" s="20" t="s">
        <v>186</v>
      </c>
      <c r="J778" s="34">
        <v>45246</v>
      </c>
      <c r="K778" s="19">
        <v>0.83</v>
      </c>
      <c r="L778" s="20">
        <f t="shared" si="69"/>
        <v>697</v>
      </c>
      <c r="M778" s="4">
        <f>IF(Table3[[#This Row],[Afrondingsdatum YB]]="N/A","-",Table3[[#This Row],[Afrondingsdatum YB]]-Table3[[#This Row],[StartDatum]])</f>
        <v>45246</v>
      </c>
      <c r="N778" s="4"/>
      <c r="O778">
        <f t="shared" si="70"/>
        <v>116</v>
      </c>
      <c r="P778">
        <f t="shared" si="66"/>
        <v>104</v>
      </c>
      <c r="Q778">
        <f t="shared" si="66"/>
        <v>105</v>
      </c>
      <c r="R778">
        <f t="shared" si="66"/>
        <v>114</v>
      </c>
      <c r="S778">
        <f t="shared" si="66"/>
        <v>115</v>
      </c>
      <c r="T778">
        <f t="shared" si="66"/>
        <v>97</v>
      </c>
      <c r="U778">
        <f t="shared" si="66"/>
        <v>46</v>
      </c>
      <c r="V778">
        <f t="shared" si="66"/>
        <v>108</v>
      </c>
      <c r="W778" s="5">
        <f t="shared" si="67"/>
        <v>878</v>
      </c>
      <c r="X778" s="9" t="str">
        <f t="shared" si="68"/>
        <v>h878</v>
      </c>
    </row>
    <row r="779" spans="1:24" x14ac:dyDescent="0.2">
      <c r="A779" s="9" t="s">
        <v>425</v>
      </c>
      <c r="B779" s="9">
        <v>1</v>
      </c>
      <c r="C779" s="22">
        <v>12</v>
      </c>
      <c r="D779" s="25"/>
      <c r="E779" s="23">
        <v>45250</v>
      </c>
      <c r="F779" s="23" t="s">
        <v>364</v>
      </c>
      <c r="G779" s="25" t="s">
        <v>133</v>
      </c>
      <c r="H779" s="24">
        <v>1</v>
      </c>
      <c r="I779" s="25" t="s">
        <v>271</v>
      </c>
      <c r="J779" s="32">
        <v>45238</v>
      </c>
      <c r="K779" s="24">
        <v>0.83</v>
      </c>
      <c r="L779" s="25">
        <f t="shared" si="69"/>
        <v>713</v>
      </c>
      <c r="M779" s="4">
        <f>IF(Table3[[#This Row],[Afrondingsdatum YB]]="N/A","-",Table3[[#This Row],[Afrondingsdatum YB]]-Table3[[#This Row],[StartDatum]])</f>
        <v>45238</v>
      </c>
      <c r="N779" s="4"/>
      <c r="O779">
        <f t="shared" si="70"/>
        <v>116</v>
      </c>
      <c r="P779">
        <f t="shared" si="66"/>
        <v>121</v>
      </c>
      <c r="Q779">
        <f t="shared" si="66"/>
        <v>108</v>
      </c>
      <c r="R779">
        <f t="shared" si="66"/>
        <v>101</v>
      </c>
      <c r="S779">
        <f t="shared" si="66"/>
        <v>114</v>
      </c>
      <c r="T779">
        <f t="shared" si="66"/>
        <v>46</v>
      </c>
      <c r="U779">
        <f t="shared" ref="P779:V816" si="71">CODE(MID($G779,U$1,1))</f>
        <v>107</v>
      </c>
      <c r="V779">
        <f t="shared" si="71"/>
        <v>111</v>
      </c>
      <c r="W779" s="5">
        <f t="shared" si="67"/>
        <v>904</v>
      </c>
      <c r="X779" s="9" t="str">
        <f t="shared" si="68"/>
        <v>y904</v>
      </c>
    </row>
    <row r="780" spans="1:24" x14ac:dyDescent="0.2">
      <c r="A780" s="9" t="s">
        <v>425</v>
      </c>
      <c r="B780" s="9">
        <v>1</v>
      </c>
      <c r="C780" s="22">
        <v>12</v>
      </c>
      <c r="D780" s="25"/>
      <c r="E780" s="18">
        <v>45250</v>
      </c>
      <c r="F780" s="18" t="s">
        <v>364</v>
      </c>
      <c r="G780" s="20" t="s">
        <v>65</v>
      </c>
      <c r="H780" s="19">
        <v>1</v>
      </c>
      <c r="I780" s="20" t="s">
        <v>144</v>
      </c>
      <c r="J780" s="34">
        <v>45231</v>
      </c>
      <c r="K780" s="19">
        <v>0.93</v>
      </c>
      <c r="L780" s="20">
        <f t="shared" si="69"/>
        <v>711</v>
      </c>
      <c r="M780" s="4">
        <f>IF(Table3[[#This Row],[Afrondingsdatum YB]]="N/A","-",Table3[[#This Row],[Afrondingsdatum YB]]-Table3[[#This Row],[StartDatum]])</f>
        <v>45231</v>
      </c>
      <c r="N780" s="4"/>
      <c r="O780">
        <f t="shared" si="70"/>
        <v>119</v>
      </c>
      <c r="P780">
        <f t="shared" si="71"/>
        <v>101</v>
      </c>
      <c r="Q780">
        <f t="shared" si="71"/>
        <v>115</v>
      </c>
      <c r="R780">
        <f t="shared" si="71"/>
        <v>108</v>
      </c>
      <c r="S780">
        <f t="shared" si="71"/>
        <v>101</v>
      </c>
      <c r="T780">
        <f t="shared" si="71"/>
        <v>121</v>
      </c>
      <c r="U780">
        <f t="shared" si="71"/>
        <v>46</v>
      </c>
      <c r="V780">
        <f t="shared" si="71"/>
        <v>99</v>
      </c>
      <c r="W780" s="5">
        <f t="shared" si="67"/>
        <v>909</v>
      </c>
      <c r="X780" s="9" t="str">
        <f t="shared" si="68"/>
        <v>e909</v>
      </c>
    </row>
    <row r="781" spans="1:24" x14ac:dyDescent="0.2">
      <c r="A781" s="9" t="s">
        <v>425</v>
      </c>
      <c r="B781" s="9">
        <v>1</v>
      </c>
      <c r="C781" s="22">
        <v>12</v>
      </c>
      <c r="D781" s="25"/>
      <c r="E781" s="23">
        <v>45250</v>
      </c>
      <c r="F781" s="23" t="s">
        <v>364</v>
      </c>
      <c r="G781" s="25" t="s">
        <v>66</v>
      </c>
      <c r="H781" s="24">
        <v>1</v>
      </c>
      <c r="I781" s="25" t="s">
        <v>202</v>
      </c>
      <c r="J781" s="32">
        <v>45249</v>
      </c>
      <c r="K781" s="24">
        <v>0.8</v>
      </c>
      <c r="L781" s="25">
        <f t="shared" si="69"/>
        <v>697</v>
      </c>
      <c r="M781" s="4">
        <f>IF(Table3[[#This Row],[Afrondingsdatum YB]]="N/A","-",Table3[[#This Row],[Afrondingsdatum YB]]-Table3[[#This Row],[StartDatum]])</f>
        <v>45249</v>
      </c>
      <c r="N781" s="4"/>
      <c r="O781">
        <f t="shared" si="70"/>
        <v>121</v>
      </c>
      <c r="P781">
        <f t="shared" si="71"/>
        <v>97</v>
      </c>
      <c r="Q781">
        <f t="shared" si="71"/>
        <v>115</v>
      </c>
      <c r="R781">
        <f t="shared" si="71"/>
        <v>105</v>
      </c>
      <c r="S781">
        <f t="shared" si="71"/>
        <v>110</v>
      </c>
      <c r="T781">
        <f t="shared" si="71"/>
        <v>46</v>
      </c>
      <c r="U781">
        <f t="shared" si="71"/>
        <v>103</v>
      </c>
      <c r="V781">
        <f t="shared" si="71"/>
        <v>111</v>
      </c>
      <c r="W781" s="5">
        <f t="shared" si="67"/>
        <v>911</v>
      </c>
      <c r="X781" s="9" t="str">
        <f t="shared" si="68"/>
        <v>a911</v>
      </c>
    </row>
    <row r="782" spans="1:24" x14ac:dyDescent="0.2">
      <c r="A782" s="9" t="s">
        <v>425</v>
      </c>
      <c r="B782" s="9">
        <v>1</v>
      </c>
      <c r="C782" s="22">
        <v>12</v>
      </c>
      <c r="D782" s="25"/>
      <c r="E782" s="18">
        <v>45250</v>
      </c>
      <c r="F782" s="18" t="s">
        <v>364</v>
      </c>
      <c r="G782" s="20" t="s">
        <v>67</v>
      </c>
      <c r="H782" s="19">
        <v>1</v>
      </c>
      <c r="I782" s="20" t="s">
        <v>153</v>
      </c>
      <c r="J782" s="34">
        <v>45217</v>
      </c>
      <c r="K782" s="19">
        <v>0.73</v>
      </c>
      <c r="L782" s="20">
        <f t="shared" si="69"/>
        <v>764</v>
      </c>
      <c r="M782" s="4">
        <f>IF(Table3[[#This Row],[Afrondingsdatum YB]]="N/A","-",Table3[[#This Row],[Afrondingsdatum YB]]-Table3[[#This Row],[StartDatum]])</f>
        <v>45217</v>
      </c>
      <c r="N782" s="4"/>
      <c r="O782">
        <f t="shared" si="70"/>
        <v>121</v>
      </c>
      <c r="P782">
        <f t="shared" si="71"/>
        <v>97</v>
      </c>
      <c r="Q782">
        <f t="shared" si="71"/>
        <v>115</v>
      </c>
      <c r="R782">
        <f t="shared" si="71"/>
        <v>115</v>
      </c>
      <c r="S782">
        <f t="shared" si="71"/>
        <v>105</v>
      </c>
      <c r="T782">
        <f t="shared" si="71"/>
        <v>110</v>
      </c>
      <c r="U782">
        <f t="shared" si="71"/>
        <v>101</v>
      </c>
      <c r="V782">
        <f t="shared" si="71"/>
        <v>46</v>
      </c>
      <c r="W782" s="5">
        <f t="shared" si="67"/>
        <v>905</v>
      </c>
      <c r="X782" s="9" t="str">
        <f t="shared" si="68"/>
        <v>a905</v>
      </c>
    </row>
    <row r="783" spans="1:24" x14ac:dyDescent="0.2">
      <c r="A783" s="9" t="s">
        <v>425</v>
      </c>
      <c r="B783" s="9">
        <v>1</v>
      </c>
      <c r="C783" s="22">
        <v>12</v>
      </c>
      <c r="D783" s="25"/>
      <c r="E783" s="23">
        <v>45250</v>
      </c>
      <c r="F783" s="23" t="s">
        <v>363</v>
      </c>
      <c r="G783" s="25" t="s">
        <v>68</v>
      </c>
      <c r="H783" s="24">
        <v>1</v>
      </c>
      <c r="I783" s="25" t="s">
        <v>253</v>
      </c>
      <c r="J783" s="32">
        <v>45229</v>
      </c>
      <c r="K783" s="24">
        <v>0.75</v>
      </c>
      <c r="L783" s="25">
        <f t="shared" si="69"/>
        <v>721</v>
      </c>
      <c r="M783" s="4">
        <f>IF(Table3[[#This Row],[Afrondingsdatum YB]]="N/A","-",Table3[[#This Row],[Afrondingsdatum YB]]-Table3[[#This Row],[StartDatum]])</f>
        <v>45229</v>
      </c>
      <c r="N783" s="4"/>
      <c r="O783">
        <f t="shared" si="70"/>
        <v>121</v>
      </c>
      <c r="P783">
        <f t="shared" si="71"/>
        <v>111</v>
      </c>
      <c r="Q783">
        <f t="shared" si="71"/>
        <v>117</v>
      </c>
      <c r="R783">
        <f t="shared" si="71"/>
        <v>114</v>
      </c>
      <c r="S783">
        <f t="shared" si="71"/>
        <v>105</v>
      </c>
      <c r="T783">
        <f t="shared" si="71"/>
        <v>46</v>
      </c>
      <c r="U783">
        <f t="shared" si="71"/>
        <v>107</v>
      </c>
      <c r="V783">
        <f t="shared" si="71"/>
        <v>101</v>
      </c>
      <c r="W783" s="5">
        <f t="shared" si="67"/>
        <v>915</v>
      </c>
      <c r="X783" s="9" t="str">
        <f t="shared" si="68"/>
        <v>o915</v>
      </c>
    </row>
    <row r="784" spans="1:24" x14ac:dyDescent="0.2">
      <c r="A784" s="9" t="s">
        <v>425</v>
      </c>
      <c r="B784" s="9">
        <v>1</v>
      </c>
      <c r="C784" s="22">
        <v>13</v>
      </c>
      <c r="D784" s="12">
        <v>45173</v>
      </c>
      <c r="E784" s="18">
        <v>45257</v>
      </c>
      <c r="F784" s="18" t="s">
        <v>363</v>
      </c>
      <c r="G784" s="20" t="s">
        <v>10</v>
      </c>
      <c r="H784" s="19">
        <v>1</v>
      </c>
      <c r="I784" s="20" t="s">
        <v>110</v>
      </c>
      <c r="J784" s="34">
        <v>45197</v>
      </c>
      <c r="K784" s="19">
        <v>0.98</v>
      </c>
      <c r="L784" s="20">
        <f t="shared" si="69"/>
        <v>662</v>
      </c>
      <c r="M784" s="4">
        <f>IF(Table3[[#This Row],[Afrondingsdatum YB]]="N/A","-",Table3[[#This Row],[Afrondingsdatum YB]]-Table3[[#This Row],[StartDatum]])</f>
        <v>24</v>
      </c>
      <c r="N784" s="4"/>
      <c r="O784">
        <f t="shared" si="70"/>
        <v>97</v>
      </c>
      <c r="P784">
        <f t="shared" si="71"/>
        <v>100</v>
      </c>
      <c r="Q784">
        <f t="shared" si="71"/>
        <v>97</v>
      </c>
      <c r="R784">
        <f t="shared" si="71"/>
        <v>109</v>
      </c>
      <c r="S784">
        <f t="shared" si="71"/>
        <v>46</v>
      </c>
      <c r="T784">
        <f t="shared" si="71"/>
        <v>97</v>
      </c>
      <c r="U784">
        <f t="shared" si="71"/>
        <v>116</v>
      </c>
      <c r="V784">
        <f t="shared" si="71"/>
        <v>116</v>
      </c>
      <c r="W784" s="5">
        <f t="shared" si="67"/>
        <v>840</v>
      </c>
      <c r="X784" s="9" t="str">
        <f t="shared" si="68"/>
        <v>d840</v>
      </c>
    </row>
    <row r="785" spans="1:24" x14ac:dyDescent="0.2">
      <c r="A785" s="9" t="s">
        <v>425</v>
      </c>
      <c r="B785" s="9">
        <v>1</v>
      </c>
      <c r="C785" s="22">
        <v>13</v>
      </c>
      <c r="D785" s="12">
        <v>45173</v>
      </c>
      <c r="E785" s="23">
        <v>45257</v>
      </c>
      <c r="F785" s="23" t="s">
        <v>362</v>
      </c>
      <c r="G785" s="25" t="s">
        <v>11</v>
      </c>
      <c r="H785" s="24">
        <v>0.03</v>
      </c>
      <c r="I785" s="25" t="s">
        <v>111</v>
      </c>
      <c r="J785" s="25" t="s">
        <v>7</v>
      </c>
      <c r="K785" s="25" t="s">
        <v>9</v>
      </c>
      <c r="L785" s="25">
        <f t="shared" si="69"/>
        <v>641</v>
      </c>
      <c r="M785" s="4" t="str">
        <f>IF(Table3[[#This Row],[Afrondingsdatum YB]]="N/A","-",Table3[[#This Row],[Afrondingsdatum YB]]-Table3[[#This Row],[StartDatum]])</f>
        <v>-</v>
      </c>
      <c r="N785" s="4"/>
      <c r="O785">
        <f t="shared" si="70"/>
        <v>65</v>
      </c>
      <c r="P785">
        <f t="shared" si="71"/>
        <v>100</v>
      </c>
      <c r="Q785">
        <f t="shared" si="71"/>
        <v>105</v>
      </c>
      <c r="R785">
        <f t="shared" si="71"/>
        <v>108</v>
      </c>
      <c r="S785">
        <f t="shared" si="71"/>
        <v>46</v>
      </c>
      <c r="T785">
        <f t="shared" si="71"/>
        <v>106</v>
      </c>
      <c r="U785">
        <f t="shared" si="71"/>
        <v>111</v>
      </c>
      <c r="V785">
        <f t="shared" si="71"/>
        <v>117</v>
      </c>
      <c r="W785" s="5">
        <f t="shared" si="67"/>
        <v>837</v>
      </c>
      <c r="X785" s="9" t="str">
        <f t="shared" si="68"/>
        <v>d837</v>
      </c>
    </row>
    <row r="786" spans="1:24" x14ac:dyDescent="0.2">
      <c r="A786" s="9" t="s">
        <v>425</v>
      </c>
      <c r="B786" s="9">
        <v>1</v>
      </c>
      <c r="C786" s="22">
        <v>13</v>
      </c>
      <c r="D786" s="12">
        <v>45173</v>
      </c>
      <c r="E786" s="18">
        <v>45257</v>
      </c>
      <c r="F786" s="18" t="s">
        <v>364</v>
      </c>
      <c r="G786" s="20" t="s">
        <v>12</v>
      </c>
      <c r="H786" s="19">
        <v>1</v>
      </c>
      <c r="I786" s="20" t="s">
        <v>140</v>
      </c>
      <c r="J786" s="34">
        <v>45219</v>
      </c>
      <c r="K786" s="19">
        <v>0.73</v>
      </c>
      <c r="L786" s="20">
        <f t="shared" si="69"/>
        <v>677</v>
      </c>
      <c r="M786" s="4">
        <f>IF(Table3[[#This Row],[Afrondingsdatum YB]]="N/A","-",Table3[[#This Row],[Afrondingsdatum YB]]-Table3[[#This Row],[StartDatum]])</f>
        <v>46</v>
      </c>
      <c r="N786" s="4"/>
      <c r="O786">
        <f t="shared" si="70"/>
        <v>97</v>
      </c>
      <c r="P786">
        <f t="shared" si="71"/>
        <v>103</v>
      </c>
      <c r="Q786">
        <f t="shared" si="71"/>
        <v>104</v>
      </c>
      <c r="R786">
        <f t="shared" si="71"/>
        <v>105</v>
      </c>
      <c r="S786">
        <f t="shared" si="71"/>
        <v>108</v>
      </c>
      <c r="T786">
        <f t="shared" si="71"/>
        <v>46</v>
      </c>
      <c r="U786">
        <f t="shared" si="71"/>
        <v>114</v>
      </c>
      <c r="V786">
        <f t="shared" si="71"/>
        <v>101</v>
      </c>
      <c r="W786" s="5">
        <f t="shared" si="67"/>
        <v>856</v>
      </c>
      <c r="X786" s="9" t="str">
        <f t="shared" si="68"/>
        <v>g856</v>
      </c>
    </row>
    <row r="787" spans="1:24" x14ac:dyDescent="0.2">
      <c r="A787" s="9" t="s">
        <v>425</v>
      </c>
      <c r="B787" s="9">
        <v>1</v>
      </c>
      <c r="C787" s="22">
        <v>13</v>
      </c>
      <c r="D787" s="12">
        <v>45173</v>
      </c>
      <c r="E787" s="23">
        <v>45257</v>
      </c>
      <c r="F787" s="23" t="s">
        <v>362</v>
      </c>
      <c r="G787" s="25" t="s">
        <v>113</v>
      </c>
      <c r="H787" s="24">
        <v>0.96</v>
      </c>
      <c r="I787" s="25" t="s">
        <v>164</v>
      </c>
      <c r="J787" s="25" t="s">
        <v>7</v>
      </c>
      <c r="K787" s="25" t="s">
        <v>9</v>
      </c>
      <c r="L787" s="25">
        <f t="shared" si="69"/>
        <v>670</v>
      </c>
      <c r="M787" s="4" t="str">
        <f>IF(Table3[[#This Row],[Afrondingsdatum YB]]="N/A","-",Table3[[#This Row],[Afrondingsdatum YB]]-Table3[[#This Row],[StartDatum]])</f>
        <v>-</v>
      </c>
      <c r="N787" s="4"/>
      <c r="O787">
        <f t="shared" si="70"/>
        <v>97</v>
      </c>
      <c r="P787">
        <f t="shared" si="71"/>
        <v>109</v>
      </c>
      <c r="Q787">
        <f t="shared" si="71"/>
        <v>105</v>
      </c>
      <c r="R787">
        <f t="shared" si="71"/>
        <v>110</v>
      </c>
      <c r="S787">
        <f t="shared" si="71"/>
        <v>46</v>
      </c>
      <c r="T787">
        <f t="shared" si="71"/>
        <v>99</v>
      </c>
      <c r="U787">
        <f t="shared" si="71"/>
        <v>104</v>
      </c>
      <c r="V787">
        <f t="shared" si="71"/>
        <v>101</v>
      </c>
      <c r="W787" s="5">
        <f t="shared" si="67"/>
        <v>844</v>
      </c>
      <c r="X787" s="9" t="str">
        <f t="shared" si="68"/>
        <v>m844</v>
      </c>
    </row>
    <row r="788" spans="1:24" x14ac:dyDescent="0.2">
      <c r="A788" s="9" t="s">
        <v>425</v>
      </c>
      <c r="B788" s="9">
        <v>1</v>
      </c>
      <c r="C788" s="22">
        <v>13</v>
      </c>
      <c r="D788" s="12">
        <v>45173</v>
      </c>
      <c r="E788" s="18">
        <v>45257</v>
      </c>
      <c r="F788" s="18" t="s">
        <v>364</v>
      </c>
      <c r="G788" s="20" t="s">
        <v>13</v>
      </c>
      <c r="H788" s="19">
        <v>1</v>
      </c>
      <c r="I788" s="20" t="s">
        <v>97</v>
      </c>
      <c r="J788" s="20" t="s">
        <v>7</v>
      </c>
      <c r="K788" s="19">
        <v>0.55000000000000004</v>
      </c>
      <c r="L788" s="20">
        <f t="shared" si="69"/>
        <v>669</v>
      </c>
      <c r="M788" s="4" t="str">
        <f>IF(Table3[[#This Row],[Afrondingsdatum YB]]="N/A","-",Table3[[#This Row],[Afrondingsdatum YB]]-Table3[[#This Row],[StartDatum]])</f>
        <v>-</v>
      </c>
      <c r="N788" s="4"/>
      <c r="O788">
        <f t="shared" si="70"/>
        <v>97</v>
      </c>
      <c r="P788">
        <f t="shared" si="71"/>
        <v>109</v>
      </c>
      <c r="Q788">
        <f t="shared" si="71"/>
        <v>105</v>
      </c>
      <c r="R788">
        <f t="shared" si="71"/>
        <v>110</v>
      </c>
      <c r="S788">
        <f t="shared" si="71"/>
        <v>101</v>
      </c>
      <c r="T788">
        <f t="shared" si="71"/>
        <v>46</v>
      </c>
      <c r="U788">
        <f t="shared" si="71"/>
        <v>101</v>
      </c>
      <c r="V788">
        <f t="shared" si="71"/>
        <v>108</v>
      </c>
      <c r="W788" s="5">
        <f t="shared" si="67"/>
        <v>850</v>
      </c>
      <c r="X788" s="9" t="str">
        <f t="shared" si="68"/>
        <v>m850</v>
      </c>
    </row>
    <row r="789" spans="1:24" x14ac:dyDescent="0.2">
      <c r="A789" s="9" t="s">
        <v>425</v>
      </c>
      <c r="B789" s="9">
        <v>1</v>
      </c>
      <c r="C789" s="22">
        <v>13</v>
      </c>
      <c r="D789" s="12">
        <v>45173</v>
      </c>
      <c r="E789" s="23">
        <v>45257</v>
      </c>
      <c r="F789" s="23" t="s">
        <v>363</v>
      </c>
      <c r="G789" s="25" t="s">
        <v>14</v>
      </c>
      <c r="H789" s="24">
        <v>0.68</v>
      </c>
      <c r="I789" s="25" t="s">
        <v>166</v>
      </c>
      <c r="J789" s="25" t="s">
        <v>7</v>
      </c>
      <c r="K789" s="25" t="s">
        <v>9</v>
      </c>
      <c r="L789" s="25">
        <f t="shared" si="69"/>
        <v>676</v>
      </c>
      <c r="M789" s="4" t="str">
        <f>IF(Table3[[#This Row],[Afrondingsdatum YB]]="N/A","-",Table3[[#This Row],[Afrondingsdatum YB]]-Table3[[#This Row],[StartDatum]])</f>
        <v>-</v>
      </c>
      <c r="N789" s="4"/>
      <c r="O789">
        <f t="shared" si="70"/>
        <v>97</v>
      </c>
      <c r="P789">
        <f t="shared" si="71"/>
        <v>110</v>
      </c>
      <c r="Q789">
        <f t="shared" si="71"/>
        <v>103</v>
      </c>
      <c r="R789">
        <f t="shared" si="71"/>
        <v>101</v>
      </c>
      <c r="S789">
        <f t="shared" si="71"/>
        <v>108</v>
      </c>
      <c r="T789">
        <f t="shared" si="71"/>
        <v>111</v>
      </c>
      <c r="U789">
        <f t="shared" si="71"/>
        <v>46</v>
      </c>
      <c r="V789">
        <f t="shared" si="71"/>
        <v>115</v>
      </c>
      <c r="W789" s="5">
        <f t="shared" si="67"/>
        <v>866</v>
      </c>
      <c r="X789" s="9" t="str">
        <f t="shared" si="68"/>
        <v>n866</v>
      </c>
    </row>
    <row r="790" spans="1:24" x14ac:dyDescent="0.2">
      <c r="A790" s="9" t="s">
        <v>425</v>
      </c>
      <c r="B790" s="9">
        <v>1</v>
      </c>
      <c r="C790" s="22">
        <v>13</v>
      </c>
      <c r="D790" s="12">
        <v>45173</v>
      </c>
      <c r="E790" s="18">
        <v>45257</v>
      </c>
      <c r="F790" s="18" t="s">
        <v>362</v>
      </c>
      <c r="G790" s="20" t="s">
        <v>15</v>
      </c>
      <c r="H790" s="19">
        <v>1</v>
      </c>
      <c r="I790" s="20" t="s">
        <v>215</v>
      </c>
      <c r="J790" s="34">
        <v>45238</v>
      </c>
      <c r="K790" s="19">
        <v>0.75</v>
      </c>
      <c r="L790" s="20">
        <f t="shared" si="69"/>
        <v>755</v>
      </c>
      <c r="M790" s="4">
        <f>IF(Table3[[#This Row],[Afrondingsdatum YB]]="N/A","-",Table3[[#This Row],[Afrondingsdatum YB]]-Table3[[#This Row],[StartDatum]])</f>
        <v>65</v>
      </c>
      <c r="N790" s="4"/>
      <c r="O790">
        <f t="shared" si="70"/>
        <v>97</v>
      </c>
      <c r="P790">
        <f t="shared" si="71"/>
        <v>115</v>
      </c>
      <c r="Q790">
        <f t="shared" si="71"/>
        <v>104</v>
      </c>
      <c r="R790">
        <f t="shared" si="71"/>
        <v>111</v>
      </c>
      <c r="S790">
        <f t="shared" si="71"/>
        <v>101</v>
      </c>
      <c r="T790">
        <f t="shared" si="71"/>
        <v>116</v>
      </c>
      <c r="U790">
        <f t="shared" si="71"/>
        <v>111</v>
      </c>
      <c r="V790">
        <f t="shared" si="71"/>
        <v>115</v>
      </c>
      <c r="W790" s="5">
        <f t="shared" si="67"/>
        <v>937</v>
      </c>
      <c r="X790" s="9" t="str">
        <f t="shared" si="68"/>
        <v>s937</v>
      </c>
    </row>
    <row r="791" spans="1:24" x14ac:dyDescent="0.2">
      <c r="A791" s="9" t="s">
        <v>425</v>
      </c>
      <c r="B791" s="9">
        <v>1</v>
      </c>
      <c r="C791" s="22">
        <v>13</v>
      </c>
      <c r="D791" s="12">
        <v>45173</v>
      </c>
      <c r="E791" s="23">
        <v>45257</v>
      </c>
      <c r="F791" s="23" t="s">
        <v>364</v>
      </c>
      <c r="G791" s="25" t="s">
        <v>16</v>
      </c>
      <c r="H791" s="24">
        <v>1</v>
      </c>
      <c r="I791" s="25" t="s">
        <v>255</v>
      </c>
      <c r="J791" s="32">
        <v>45236</v>
      </c>
      <c r="K791" s="24">
        <v>0.85</v>
      </c>
      <c r="L791" s="25">
        <f t="shared" si="69"/>
        <v>672</v>
      </c>
      <c r="M791" s="4">
        <f>IF(Table3[[#This Row],[Afrondingsdatum YB]]="N/A","-",Table3[[#This Row],[Afrondingsdatum YB]]-Table3[[#This Row],[StartDatum]])</f>
        <v>63</v>
      </c>
      <c r="N791" s="4"/>
      <c r="O791">
        <f t="shared" si="70"/>
        <v>97</v>
      </c>
      <c r="P791">
        <f t="shared" si="71"/>
        <v>121</v>
      </c>
      <c r="Q791">
        <f t="shared" si="71"/>
        <v>100</v>
      </c>
      <c r="R791">
        <f t="shared" si="71"/>
        <v>101</v>
      </c>
      <c r="S791">
        <f t="shared" si="71"/>
        <v>110</v>
      </c>
      <c r="T791">
        <f t="shared" si="71"/>
        <v>46</v>
      </c>
      <c r="U791">
        <f t="shared" si="71"/>
        <v>97</v>
      </c>
      <c r="V791">
        <f t="shared" si="71"/>
        <v>110</v>
      </c>
      <c r="W791" s="5">
        <f t="shared" si="67"/>
        <v>846</v>
      </c>
      <c r="X791" s="9" t="str">
        <f t="shared" si="68"/>
        <v>y846</v>
      </c>
    </row>
    <row r="792" spans="1:24" x14ac:dyDescent="0.2">
      <c r="A792" s="9" t="s">
        <v>425</v>
      </c>
      <c r="B792" s="9">
        <v>1</v>
      </c>
      <c r="C792" s="22">
        <v>13</v>
      </c>
      <c r="D792" s="12">
        <v>45173</v>
      </c>
      <c r="E792" s="18">
        <v>45257</v>
      </c>
      <c r="F792" s="18" t="s">
        <v>362</v>
      </c>
      <c r="G792" s="20" t="s">
        <v>17</v>
      </c>
      <c r="H792" s="19">
        <v>1</v>
      </c>
      <c r="I792" s="20" t="s">
        <v>256</v>
      </c>
      <c r="J792" s="34">
        <v>45240</v>
      </c>
      <c r="K792" s="19">
        <v>0.75</v>
      </c>
      <c r="L792" s="20">
        <f t="shared" si="69"/>
        <v>707</v>
      </c>
      <c r="M792" s="4">
        <f>IF(Table3[[#This Row],[Afrondingsdatum YB]]="N/A","-",Table3[[#This Row],[Afrondingsdatum YB]]-Table3[[#This Row],[StartDatum]])</f>
        <v>67</v>
      </c>
      <c r="N792" s="4"/>
      <c r="O792">
        <f t="shared" si="70"/>
        <v>98</v>
      </c>
      <c r="P792">
        <f t="shared" si="71"/>
        <v>101</v>
      </c>
      <c r="Q792">
        <f t="shared" si="71"/>
        <v>116</v>
      </c>
      <c r="R792">
        <f t="shared" si="71"/>
        <v>117</v>
      </c>
      <c r="S792">
        <f t="shared" si="71"/>
        <v>108</v>
      </c>
      <c r="T792">
        <f t="shared" si="71"/>
        <v>46</v>
      </c>
      <c r="U792">
        <f t="shared" si="71"/>
        <v>121</v>
      </c>
      <c r="V792">
        <f t="shared" si="71"/>
        <v>117</v>
      </c>
      <c r="W792" s="5">
        <f t="shared" si="67"/>
        <v>918</v>
      </c>
      <c r="X792" s="9" t="str">
        <f t="shared" si="68"/>
        <v>e918</v>
      </c>
    </row>
    <row r="793" spans="1:24" x14ac:dyDescent="0.2">
      <c r="A793" s="9" t="s">
        <v>425</v>
      </c>
      <c r="B793" s="9">
        <v>1</v>
      </c>
      <c r="C793" s="22">
        <v>13</v>
      </c>
      <c r="D793" s="12">
        <v>45173</v>
      </c>
      <c r="E793" s="23">
        <v>45257</v>
      </c>
      <c r="F793" s="23" t="s">
        <v>364</v>
      </c>
      <c r="G793" s="25" t="s">
        <v>115</v>
      </c>
      <c r="H793" s="24">
        <v>1</v>
      </c>
      <c r="I793" s="25" t="s">
        <v>167</v>
      </c>
      <c r="J793" s="32">
        <v>45237</v>
      </c>
      <c r="K793" s="24">
        <v>0.78</v>
      </c>
      <c r="L793" s="25">
        <f t="shared" si="69"/>
        <v>748</v>
      </c>
      <c r="M793" s="4">
        <f>IF(Table3[[#This Row],[Afrondingsdatum YB]]="N/A","-",Table3[[#This Row],[Afrondingsdatum YB]]-Table3[[#This Row],[StartDatum]])</f>
        <v>64</v>
      </c>
      <c r="N793" s="4"/>
      <c r="O793">
        <f t="shared" si="70"/>
        <v>98</v>
      </c>
      <c r="P793">
        <f t="shared" si="71"/>
        <v>106</v>
      </c>
      <c r="Q793">
        <f t="shared" si="71"/>
        <v>111</v>
      </c>
      <c r="R793">
        <f t="shared" si="71"/>
        <v>114</v>
      </c>
      <c r="S793">
        <f t="shared" si="71"/>
        <v>110</v>
      </c>
      <c r="T793">
        <f t="shared" si="71"/>
        <v>108</v>
      </c>
      <c r="U793">
        <f t="shared" si="71"/>
        <v>101</v>
      </c>
      <c r="V793">
        <f t="shared" si="71"/>
        <v>118</v>
      </c>
      <c r="W793" s="5">
        <f t="shared" si="67"/>
        <v>950</v>
      </c>
      <c r="X793" s="9" t="str">
        <f t="shared" si="68"/>
        <v>j950</v>
      </c>
    </row>
    <row r="794" spans="1:24" x14ac:dyDescent="0.2">
      <c r="A794" s="9" t="s">
        <v>425</v>
      </c>
      <c r="B794" s="9">
        <v>1</v>
      </c>
      <c r="C794" s="22">
        <v>13</v>
      </c>
      <c r="D794" s="12">
        <v>45173</v>
      </c>
      <c r="E794" s="18">
        <v>45257</v>
      </c>
      <c r="F794" s="18" t="s">
        <v>363</v>
      </c>
      <c r="G794" s="20" t="s">
        <v>18</v>
      </c>
      <c r="H794" s="19">
        <v>1</v>
      </c>
      <c r="I794" s="20" t="s">
        <v>202</v>
      </c>
      <c r="J794" s="34">
        <v>45227</v>
      </c>
      <c r="K794" s="19">
        <v>0.73</v>
      </c>
      <c r="L794" s="20">
        <f t="shared" si="69"/>
        <v>687</v>
      </c>
      <c r="M794" s="4">
        <f>IF(Table3[[#This Row],[Afrondingsdatum YB]]="N/A","-",Table3[[#This Row],[Afrondingsdatum YB]]-Table3[[#This Row],[StartDatum]])</f>
        <v>54</v>
      </c>
      <c r="N794" s="4"/>
      <c r="O794">
        <f t="shared" si="70"/>
        <v>98</v>
      </c>
      <c r="P794">
        <f t="shared" si="71"/>
        <v>114</v>
      </c>
      <c r="Q794">
        <f t="shared" si="71"/>
        <v>101</v>
      </c>
      <c r="R794">
        <f t="shared" si="71"/>
        <v>116</v>
      </c>
      <c r="S794">
        <f t="shared" si="71"/>
        <v>104</v>
      </c>
      <c r="T794">
        <f t="shared" si="71"/>
        <v>46</v>
      </c>
      <c r="U794">
        <f t="shared" si="71"/>
        <v>108</v>
      </c>
      <c r="V794">
        <f t="shared" si="71"/>
        <v>97</v>
      </c>
      <c r="W794" s="5">
        <f t="shared" si="67"/>
        <v>842</v>
      </c>
      <c r="X794" s="9" t="str">
        <f t="shared" si="68"/>
        <v>r842</v>
      </c>
    </row>
    <row r="795" spans="1:24" x14ac:dyDescent="0.2">
      <c r="A795" s="9" t="s">
        <v>425</v>
      </c>
      <c r="B795" s="9">
        <v>1</v>
      </c>
      <c r="C795" s="22">
        <v>13</v>
      </c>
      <c r="D795" s="12">
        <v>45173</v>
      </c>
      <c r="E795" s="23">
        <v>45257</v>
      </c>
      <c r="F795" s="23" t="s">
        <v>364</v>
      </c>
      <c r="G795" s="25" t="s">
        <v>19</v>
      </c>
      <c r="H795" s="24">
        <v>1</v>
      </c>
      <c r="I795" s="25" t="s">
        <v>170</v>
      </c>
      <c r="J795" s="32">
        <v>45212</v>
      </c>
      <c r="K795" s="24">
        <v>0.83</v>
      </c>
      <c r="L795" s="25">
        <f t="shared" si="69"/>
        <v>733</v>
      </c>
      <c r="M795" s="4">
        <f>IF(Table3[[#This Row],[Afrondingsdatum YB]]="N/A","-",Table3[[#This Row],[Afrondingsdatum YB]]-Table3[[#This Row],[StartDatum]])</f>
        <v>39</v>
      </c>
      <c r="N795" s="4"/>
      <c r="O795">
        <f t="shared" si="70"/>
        <v>99</v>
      </c>
      <c r="P795">
        <f t="shared" si="71"/>
        <v>104</v>
      </c>
      <c r="Q795">
        <f t="shared" si="71"/>
        <v>97</v>
      </c>
      <c r="R795">
        <f t="shared" si="71"/>
        <v>114</v>
      </c>
      <c r="S795">
        <f t="shared" si="71"/>
        <v>108</v>
      </c>
      <c r="T795">
        <f t="shared" si="71"/>
        <v>101</v>
      </c>
      <c r="U795">
        <f t="shared" si="71"/>
        <v>110</v>
      </c>
      <c r="V795">
        <f t="shared" si="71"/>
        <v>101</v>
      </c>
      <c r="W795" s="5">
        <f t="shared" si="67"/>
        <v>891</v>
      </c>
      <c r="X795" s="9" t="str">
        <f t="shared" si="68"/>
        <v>h891</v>
      </c>
    </row>
    <row r="796" spans="1:24" x14ac:dyDescent="0.2">
      <c r="A796" s="9" t="s">
        <v>425</v>
      </c>
      <c r="B796" s="9">
        <v>1</v>
      </c>
      <c r="C796" s="22">
        <v>13</v>
      </c>
      <c r="D796" s="12">
        <v>45173</v>
      </c>
      <c r="E796" s="18">
        <v>45257</v>
      </c>
      <c r="F796" s="18" t="s">
        <v>364</v>
      </c>
      <c r="G796" s="20" t="s">
        <v>20</v>
      </c>
      <c r="H796" s="19">
        <v>1</v>
      </c>
      <c r="I796" s="20" t="s">
        <v>171</v>
      </c>
      <c r="J796" s="34">
        <v>45209</v>
      </c>
      <c r="K796" s="19">
        <v>0.83</v>
      </c>
      <c r="L796" s="20">
        <f t="shared" si="69"/>
        <v>668</v>
      </c>
      <c r="M796" s="4">
        <f>IF(Table3[[#This Row],[Afrondingsdatum YB]]="N/A","-",Table3[[#This Row],[Afrondingsdatum YB]]-Table3[[#This Row],[StartDatum]])</f>
        <v>36</v>
      </c>
      <c r="N796" s="4"/>
      <c r="O796">
        <f t="shared" si="70"/>
        <v>99</v>
      </c>
      <c r="P796">
        <f t="shared" si="71"/>
        <v>104</v>
      </c>
      <c r="Q796">
        <f t="shared" si="71"/>
        <v>101</v>
      </c>
      <c r="R796">
        <f t="shared" si="71"/>
        <v>110</v>
      </c>
      <c r="S796">
        <f t="shared" si="71"/>
        <v>111</v>
      </c>
      <c r="T796">
        <f t="shared" si="71"/>
        <v>97</v>
      </c>
      <c r="U796">
        <f t="shared" si="71"/>
        <v>46</v>
      </c>
      <c r="V796">
        <f t="shared" si="71"/>
        <v>118</v>
      </c>
      <c r="W796" s="5">
        <f t="shared" si="67"/>
        <v>854</v>
      </c>
      <c r="X796" s="9" t="str">
        <f t="shared" si="68"/>
        <v>h854</v>
      </c>
    </row>
    <row r="797" spans="1:24" x14ac:dyDescent="0.2">
      <c r="A797" s="9" t="s">
        <v>425</v>
      </c>
      <c r="B797" s="9">
        <v>1</v>
      </c>
      <c r="C797" s="22">
        <v>13</v>
      </c>
      <c r="D797" s="12">
        <v>45173</v>
      </c>
      <c r="E797" s="23">
        <v>45257</v>
      </c>
      <c r="F797" s="23" t="s">
        <v>364</v>
      </c>
      <c r="G797" s="25" t="s">
        <v>21</v>
      </c>
      <c r="H797" s="24">
        <v>1</v>
      </c>
      <c r="I797" s="25" t="s">
        <v>208</v>
      </c>
      <c r="J797" s="32">
        <v>45237</v>
      </c>
      <c r="K797" s="24">
        <v>0.73</v>
      </c>
      <c r="L797" s="25">
        <f t="shared" si="69"/>
        <v>681</v>
      </c>
      <c r="M797" s="4">
        <f>IF(Table3[[#This Row],[Afrondingsdatum YB]]="N/A","-",Table3[[#This Row],[Afrondingsdatum YB]]-Table3[[#This Row],[StartDatum]])</f>
        <v>64</v>
      </c>
      <c r="N797" s="4"/>
      <c r="O797">
        <f t="shared" si="70"/>
        <v>100</v>
      </c>
      <c r="P797">
        <f t="shared" si="71"/>
        <v>97</v>
      </c>
      <c r="Q797">
        <f t="shared" si="71"/>
        <v>115</v>
      </c>
      <c r="R797">
        <f t="shared" si="71"/>
        <v>116</v>
      </c>
      <c r="S797">
        <f t="shared" si="71"/>
        <v>97</v>
      </c>
      <c r="T797">
        <f t="shared" si="71"/>
        <v>110</v>
      </c>
      <c r="U797">
        <f t="shared" si="71"/>
        <v>46</v>
      </c>
      <c r="V797">
        <f t="shared" si="71"/>
        <v>109</v>
      </c>
      <c r="W797" s="5">
        <f t="shared" si="67"/>
        <v>885</v>
      </c>
      <c r="X797" s="9" t="str">
        <f t="shared" si="68"/>
        <v>a885</v>
      </c>
    </row>
    <row r="798" spans="1:24" x14ac:dyDescent="0.2">
      <c r="A798" s="9" t="s">
        <v>425</v>
      </c>
      <c r="B798" s="9">
        <v>1</v>
      </c>
      <c r="C798" s="22">
        <v>13</v>
      </c>
      <c r="D798" s="12">
        <v>45173</v>
      </c>
      <c r="E798" s="18">
        <v>45257</v>
      </c>
      <c r="F798" s="18" t="s">
        <v>363</v>
      </c>
      <c r="G798" s="20" t="s">
        <v>22</v>
      </c>
      <c r="H798" s="19">
        <v>1</v>
      </c>
      <c r="I798" s="20" t="s">
        <v>221</v>
      </c>
      <c r="J798" s="34">
        <v>45225</v>
      </c>
      <c r="K798" s="19">
        <v>0.7</v>
      </c>
      <c r="L798" s="20">
        <f t="shared" si="69"/>
        <v>676</v>
      </c>
      <c r="M798" s="4">
        <f>IF(Table3[[#This Row],[Afrondingsdatum YB]]="N/A","-",Table3[[#This Row],[Afrondingsdatum YB]]-Table3[[#This Row],[StartDatum]])</f>
        <v>52</v>
      </c>
      <c r="N798" s="4"/>
      <c r="O798">
        <f t="shared" si="70"/>
        <v>100</v>
      </c>
      <c r="P798">
        <f t="shared" si="71"/>
        <v>101</v>
      </c>
      <c r="Q798">
        <f t="shared" si="71"/>
        <v>109</v>
      </c>
      <c r="R798">
        <f t="shared" si="71"/>
        <v>105</v>
      </c>
      <c r="S798">
        <f t="shared" si="71"/>
        <v>46</v>
      </c>
      <c r="T798">
        <f t="shared" si="71"/>
        <v>118</v>
      </c>
      <c r="U798">
        <f t="shared" si="71"/>
        <v>97</v>
      </c>
      <c r="V798">
        <f t="shared" si="71"/>
        <v>110</v>
      </c>
      <c r="W798" s="5">
        <f t="shared" si="67"/>
        <v>875</v>
      </c>
      <c r="X798" s="9" t="str">
        <f t="shared" si="68"/>
        <v>e875</v>
      </c>
    </row>
    <row r="799" spans="1:24" x14ac:dyDescent="0.2">
      <c r="A799" s="9" t="s">
        <v>425</v>
      </c>
      <c r="B799" s="9">
        <v>1</v>
      </c>
      <c r="C799" s="22">
        <v>13</v>
      </c>
      <c r="D799" s="12">
        <v>45173</v>
      </c>
      <c r="E799" s="23">
        <v>45257</v>
      </c>
      <c r="F799" s="23" t="s">
        <v>363</v>
      </c>
      <c r="G799" s="25" t="s">
        <v>23</v>
      </c>
      <c r="H799" s="24">
        <v>0.97</v>
      </c>
      <c r="I799" s="25" t="s">
        <v>227</v>
      </c>
      <c r="J799" s="25" t="s">
        <v>7</v>
      </c>
      <c r="K799" s="25" t="s">
        <v>9</v>
      </c>
      <c r="L799" s="25">
        <f t="shared" si="69"/>
        <v>681</v>
      </c>
      <c r="M799" s="4" t="str">
        <f>IF(Table3[[#This Row],[Afrondingsdatum YB]]="N/A","-",Table3[[#This Row],[Afrondingsdatum YB]]-Table3[[#This Row],[StartDatum]])</f>
        <v>-</v>
      </c>
      <c r="N799" s="4"/>
      <c r="O799">
        <f t="shared" si="70"/>
        <v>101</v>
      </c>
      <c r="P799">
        <f t="shared" si="71"/>
        <v>108</v>
      </c>
      <c r="Q799">
        <f t="shared" si="71"/>
        <v>105</v>
      </c>
      <c r="R799">
        <f t="shared" si="71"/>
        <v>122</v>
      </c>
      <c r="S799">
        <f t="shared" si="71"/>
        <v>101</v>
      </c>
      <c r="T799">
        <f t="shared" si="71"/>
        <v>46</v>
      </c>
      <c r="U799">
        <f t="shared" si="71"/>
        <v>98</v>
      </c>
      <c r="V799">
        <f t="shared" si="71"/>
        <v>97</v>
      </c>
      <c r="W799" s="5">
        <f t="shared" si="67"/>
        <v>843</v>
      </c>
      <c r="X799" s="9" t="str">
        <f t="shared" si="68"/>
        <v>l843</v>
      </c>
    </row>
    <row r="800" spans="1:24" x14ac:dyDescent="0.2">
      <c r="A800" s="9" t="s">
        <v>425</v>
      </c>
      <c r="B800" s="9">
        <v>1</v>
      </c>
      <c r="C800" s="22">
        <v>13</v>
      </c>
      <c r="D800" s="12">
        <v>45173</v>
      </c>
      <c r="E800" s="18">
        <v>45257</v>
      </c>
      <c r="F800" s="18" t="s">
        <v>363</v>
      </c>
      <c r="G800" s="20" t="s">
        <v>24</v>
      </c>
      <c r="H800" s="19">
        <v>1</v>
      </c>
      <c r="I800" s="20" t="s">
        <v>222</v>
      </c>
      <c r="J800" s="34">
        <v>45225</v>
      </c>
      <c r="K800" s="19">
        <v>0.73</v>
      </c>
      <c r="L800" s="20">
        <f t="shared" si="69"/>
        <v>705</v>
      </c>
      <c r="M800" s="4">
        <f>IF(Table3[[#This Row],[Afrondingsdatum YB]]="N/A","-",Table3[[#This Row],[Afrondingsdatum YB]]-Table3[[#This Row],[StartDatum]])</f>
        <v>52</v>
      </c>
      <c r="N800" s="4"/>
      <c r="O800">
        <f t="shared" si="70"/>
        <v>102</v>
      </c>
      <c r="P800">
        <f t="shared" si="71"/>
        <v>105</v>
      </c>
      <c r="Q800">
        <f t="shared" si="71"/>
        <v>115</v>
      </c>
      <c r="R800">
        <f t="shared" si="71"/>
        <v>116</v>
      </c>
      <c r="S800">
        <f t="shared" si="71"/>
        <v>111</v>
      </c>
      <c r="T800">
        <f t="shared" si="71"/>
        <v>110</v>
      </c>
      <c r="U800">
        <f t="shared" si="71"/>
        <v>46</v>
      </c>
      <c r="V800">
        <f t="shared" si="71"/>
        <v>99</v>
      </c>
      <c r="W800" s="5">
        <f t="shared" si="67"/>
        <v>895</v>
      </c>
      <c r="X800" s="9" t="str">
        <f t="shared" si="68"/>
        <v>i895</v>
      </c>
    </row>
    <row r="801" spans="1:24" x14ac:dyDescent="0.2">
      <c r="A801" s="9" t="s">
        <v>425</v>
      </c>
      <c r="B801" s="9">
        <v>1</v>
      </c>
      <c r="C801" s="22">
        <v>13</v>
      </c>
      <c r="D801" s="12">
        <v>45173</v>
      </c>
      <c r="E801" s="23">
        <v>45257</v>
      </c>
      <c r="F801" s="23" t="s">
        <v>362</v>
      </c>
      <c r="G801" s="25" t="s">
        <v>118</v>
      </c>
      <c r="H801" s="24">
        <v>0.99</v>
      </c>
      <c r="I801" s="25" t="s">
        <v>257</v>
      </c>
      <c r="J801" s="25" t="s">
        <v>7</v>
      </c>
      <c r="K801" s="25" t="s">
        <v>9</v>
      </c>
      <c r="L801" s="25">
        <f t="shared" si="69"/>
        <v>756</v>
      </c>
      <c r="M801" s="4" t="str">
        <f>IF(Table3[[#This Row],[Afrondingsdatum YB]]="N/A","-",Table3[[#This Row],[Afrondingsdatum YB]]-Table3[[#This Row],[StartDatum]])</f>
        <v>-</v>
      </c>
      <c r="N801" s="4"/>
      <c r="O801">
        <f t="shared" si="70"/>
        <v>103</v>
      </c>
      <c r="P801">
        <f t="shared" si="71"/>
        <v>101</v>
      </c>
      <c r="Q801">
        <f t="shared" si="71"/>
        <v>110</v>
      </c>
      <c r="R801">
        <f t="shared" si="71"/>
        <v>116</v>
      </c>
      <c r="S801">
        <f t="shared" si="71"/>
        <v>97</v>
      </c>
      <c r="T801">
        <f t="shared" si="71"/>
        <v>108</v>
      </c>
      <c r="U801">
        <f t="shared" si="71"/>
        <v>121</v>
      </c>
      <c r="V801">
        <f t="shared" si="71"/>
        <v>46</v>
      </c>
      <c r="W801" s="5">
        <f t="shared" si="67"/>
        <v>885</v>
      </c>
      <c r="X801" s="9" t="str">
        <f t="shared" si="68"/>
        <v>e885</v>
      </c>
    </row>
    <row r="802" spans="1:24" x14ac:dyDescent="0.2">
      <c r="A802" s="9" t="s">
        <v>425</v>
      </c>
      <c r="B802" s="9">
        <v>1</v>
      </c>
      <c r="C802" s="22">
        <v>13</v>
      </c>
      <c r="D802" s="12">
        <v>45173</v>
      </c>
      <c r="E802" s="18">
        <v>45257</v>
      </c>
      <c r="F802" s="18" t="s">
        <v>362</v>
      </c>
      <c r="G802" s="20" t="s">
        <v>25</v>
      </c>
      <c r="H802" s="19">
        <v>1</v>
      </c>
      <c r="I802" s="20" t="s">
        <v>215</v>
      </c>
      <c r="J802" s="34">
        <v>45231</v>
      </c>
      <c r="K802" s="19">
        <v>0.73</v>
      </c>
      <c r="L802" s="20">
        <f t="shared" si="69"/>
        <v>690</v>
      </c>
      <c r="M802" s="4">
        <f>IF(Table3[[#This Row],[Afrondingsdatum YB]]="N/A","-",Table3[[#This Row],[Afrondingsdatum YB]]-Table3[[#This Row],[StartDatum]])</f>
        <v>58</v>
      </c>
      <c r="N802" s="4"/>
      <c r="O802">
        <f t="shared" si="70"/>
        <v>103</v>
      </c>
      <c r="P802">
        <f t="shared" si="71"/>
        <v>108</v>
      </c>
      <c r="Q802">
        <f t="shared" si="71"/>
        <v>105</v>
      </c>
      <c r="R802">
        <f t="shared" si="71"/>
        <v>103</v>
      </c>
      <c r="S802">
        <f t="shared" si="71"/>
        <v>111</v>
      </c>
      <c r="T802">
        <f t="shared" si="71"/>
        <v>114</v>
      </c>
      <c r="U802">
        <f t="shared" si="71"/>
        <v>46</v>
      </c>
      <c r="V802">
        <f t="shared" si="71"/>
        <v>106</v>
      </c>
      <c r="W802" s="5">
        <f t="shared" si="67"/>
        <v>875</v>
      </c>
      <c r="X802" s="9" t="str">
        <f t="shared" si="68"/>
        <v>l875</v>
      </c>
    </row>
    <row r="803" spans="1:24" x14ac:dyDescent="0.2">
      <c r="A803" s="9" t="s">
        <v>425</v>
      </c>
      <c r="B803" s="9">
        <v>1</v>
      </c>
      <c r="C803" s="22">
        <v>13</v>
      </c>
      <c r="D803" s="12">
        <v>45173</v>
      </c>
      <c r="E803" s="23">
        <v>45257</v>
      </c>
      <c r="F803" s="23" t="s">
        <v>363</v>
      </c>
      <c r="G803" s="25" t="s">
        <v>26</v>
      </c>
      <c r="H803" s="24">
        <v>1</v>
      </c>
      <c r="I803" s="25" t="s">
        <v>240</v>
      </c>
      <c r="J803" s="32">
        <v>45230</v>
      </c>
      <c r="K803" s="24">
        <v>0.83</v>
      </c>
      <c r="L803" s="25">
        <f t="shared" si="69"/>
        <v>690</v>
      </c>
      <c r="M803" s="4">
        <f>IF(Table3[[#This Row],[Afrondingsdatum YB]]="N/A","-",Table3[[#This Row],[Afrondingsdatum YB]]-Table3[[#This Row],[StartDatum]])</f>
        <v>57</v>
      </c>
      <c r="N803" s="4"/>
      <c r="O803">
        <f t="shared" si="70"/>
        <v>104</v>
      </c>
      <c r="P803">
        <f t="shared" si="71"/>
        <v>97</v>
      </c>
      <c r="Q803">
        <f t="shared" si="71"/>
        <v>122</v>
      </c>
      <c r="R803">
        <f t="shared" si="71"/>
        <v>101</v>
      </c>
      <c r="S803">
        <f t="shared" si="71"/>
        <v>109</v>
      </c>
      <c r="T803">
        <f t="shared" si="71"/>
        <v>46</v>
      </c>
      <c r="U803">
        <f t="shared" si="71"/>
        <v>111</v>
      </c>
      <c r="V803">
        <f t="shared" si="71"/>
        <v>110</v>
      </c>
      <c r="W803" s="5">
        <f t="shared" si="67"/>
        <v>920</v>
      </c>
      <c r="X803" s="9" t="str">
        <f t="shared" si="68"/>
        <v>a920</v>
      </c>
    </row>
    <row r="804" spans="1:24" x14ac:dyDescent="0.2">
      <c r="A804" s="9" t="s">
        <v>425</v>
      </c>
      <c r="B804" s="9">
        <v>1</v>
      </c>
      <c r="C804" s="22">
        <v>13</v>
      </c>
      <c r="D804" s="12">
        <v>45173</v>
      </c>
      <c r="E804" s="18">
        <v>45257</v>
      </c>
      <c r="F804" s="18" t="s">
        <v>364</v>
      </c>
      <c r="G804" s="20" t="s">
        <v>27</v>
      </c>
      <c r="H804" s="19">
        <v>1</v>
      </c>
      <c r="I804" s="20" t="s">
        <v>147</v>
      </c>
      <c r="J804" s="34">
        <v>45253</v>
      </c>
      <c r="K804" s="19">
        <v>0.75</v>
      </c>
      <c r="L804" s="20">
        <f t="shared" si="69"/>
        <v>734</v>
      </c>
      <c r="M804" s="4">
        <f>IF(Table3[[#This Row],[Afrondingsdatum YB]]="N/A","-",Table3[[#This Row],[Afrondingsdatum YB]]-Table3[[#This Row],[StartDatum]])</f>
        <v>80</v>
      </c>
      <c r="N804" s="4"/>
      <c r="O804">
        <f t="shared" si="70"/>
        <v>104</v>
      </c>
      <c r="P804">
        <f t="shared" si="71"/>
        <v>101</v>
      </c>
      <c r="Q804">
        <f t="shared" si="71"/>
        <v>114</v>
      </c>
      <c r="R804">
        <f t="shared" si="71"/>
        <v>109</v>
      </c>
      <c r="S804">
        <f t="shared" si="71"/>
        <v>101</v>
      </c>
      <c r="T804">
        <f t="shared" si="71"/>
        <v>108</v>
      </c>
      <c r="U804">
        <f t="shared" si="71"/>
        <v>97</v>
      </c>
      <c r="V804">
        <f t="shared" si="71"/>
        <v>46</v>
      </c>
      <c r="W804" s="5">
        <f t="shared" si="67"/>
        <v>876</v>
      </c>
      <c r="X804" s="9" t="str">
        <f t="shared" si="68"/>
        <v>e876</v>
      </c>
    </row>
    <row r="805" spans="1:24" x14ac:dyDescent="0.2">
      <c r="A805" s="9" t="s">
        <v>425</v>
      </c>
      <c r="B805" s="9">
        <v>1</v>
      </c>
      <c r="C805" s="22">
        <v>13</v>
      </c>
      <c r="D805" s="12">
        <v>45173</v>
      </c>
      <c r="E805" s="23">
        <v>45257</v>
      </c>
      <c r="F805" s="23" t="s">
        <v>364</v>
      </c>
      <c r="G805" s="25" t="s">
        <v>28</v>
      </c>
      <c r="H805" s="24">
        <v>1</v>
      </c>
      <c r="I805" s="25" t="s">
        <v>241</v>
      </c>
      <c r="J805" s="32">
        <v>45233</v>
      </c>
      <c r="K805" s="24">
        <v>0.93</v>
      </c>
      <c r="L805" s="25">
        <f t="shared" si="69"/>
        <v>665</v>
      </c>
      <c r="M805" s="4">
        <f>IF(Table3[[#This Row],[Afrondingsdatum YB]]="N/A","-",Table3[[#This Row],[Afrondingsdatum YB]]-Table3[[#This Row],[StartDatum]])</f>
        <v>60</v>
      </c>
      <c r="N805" s="4"/>
      <c r="O805">
        <f t="shared" si="70"/>
        <v>104</v>
      </c>
      <c r="P805">
        <f t="shared" si="71"/>
        <v>117</v>
      </c>
      <c r="Q805">
        <f t="shared" si="71"/>
        <v>105</v>
      </c>
      <c r="R805">
        <f t="shared" si="71"/>
        <v>98</v>
      </c>
      <c r="S805">
        <f t="shared" si="71"/>
        <v>46</v>
      </c>
      <c r="T805">
        <f t="shared" si="71"/>
        <v>98</v>
      </c>
      <c r="U805">
        <f t="shared" si="71"/>
        <v>97</v>
      </c>
      <c r="V805">
        <f t="shared" si="71"/>
        <v>107</v>
      </c>
      <c r="W805" s="5">
        <f t="shared" si="67"/>
        <v>850</v>
      </c>
      <c r="X805" s="9" t="str">
        <f t="shared" si="68"/>
        <v>u850</v>
      </c>
    </row>
    <row r="806" spans="1:24" x14ac:dyDescent="0.2">
      <c r="A806" s="9" t="s">
        <v>425</v>
      </c>
      <c r="B806" s="9">
        <v>1</v>
      </c>
      <c r="C806" s="22">
        <v>13</v>
      </c>
      <c r="D806" s="12">
        <v>45173</v>
      </c>
      <c r="E806" s="18">
        <v>45257</v>
      </c>
      <c r="F806" s="18" t="s">
        <v>363</v>
      </c>
      <c r="G806" s="20" t="s">
        <v>29</v>
      </c>
      <c r="H806" s="19">
        <v>1</v>
      </c>
      <c r="I806" s="20" t="s">
        <v>179</v>
      </c>
      <c r="J806" s="34">
        <v>45210</v>
      </c>
      <c r="K806" s="19">
        <v>0.85</v>
      </c>
      <c r="L806" s="20">
        <f t="shared" si="69"/>
        <v>682</v>
      </c>
      <c r="M806" s="4">
        <f>IF(Table3[[#This Row],[Afrondingsdatum YB]]="N/A","-",Table3[[#This Row],[Afrondingsdatum YB]]-Table3[[#This Row],[StartDatum]])</f>
        <v>37</v>
      </c>
      <c r="N806" s="4"/>
      <c r="O806">
        <f t="shared" si="70"/>
        <v>105</v>
      </c>
      <c r="P806">
        <f t="shared" si="71"/>
        <v>107</v>
      </c>
      <c r="Q806">
        <f t="shared" si="71"/>
        <v>104</v>
      </c>
      <c r="R806">
        <f t="shared" si="71"/>
        <v>108</v>
      </c>
      <c r="S806">
        <f t="shared" si="71"/>
        <v>97</v>
      </c>
      <c r="T806">
        <f t="shared" si="71"/>
        <v>115</v>
      </c>
      <c r="U806">
        <f t="shared" si="71"/>
        <v>46</v>
      </c>
      <c r="V806">
        <f t="shared" si="71"/>
        <v>98</v>
      </c>
      <c r="W806" s="5">
        <f t="shared" si="67"/>
        <v>854</v>
      </c>
      <c r="X806" s="9" t="str">
        <f t="shared" si="68"/>
        <v>k854</v>
      </c>
    </row>
    <row r="807" spans="1:24" x14ac:dyDescent="0.2">
      <c r="A807" s="9" t="s">
        <v>425</v>
      </c>
      <c r="B807" s="9">
        <v>1</v>
      </c>
      <c r="C807" s="22">
        <v>13</v>
      </c>
      <c r="D807" s="12">
        <v>45173</v>
      </c>
      <c r="E807" s="23">
        <v>45257</v>
      </c>
      <c r="F807" s="23" t="s">
        <v>363</v>
      </c>
      <c r="G807" s="25" t="s">
        <v>30</v>
      </c>
      <c r="H807" s="24">
        <v>1</v>
      </c>
      <c r="I807" s="25" t="s">
        <v>225</v>
      </c>
      <c r="J807" s="32">
        <v>45226</v>
      </c>
      <c r="K807" s="24">
        <v>0.75</v>
      </c>
      <c r="L807" s="25">
        <f t="shared" si="69"/>
        <v>701</v>
      </c>
      <c r="M807" s="4">
        <f>IF(Table3[[#This Row],[Afrondingsdatum YB]]="N/A","-",Table3[[#This Row],[Afrondingsdatum YB]]-Table3[[#This Row],[StartDatum]])</f>
        <v>53</v>
      </c>
      <c r="N807" s="4"/>
      <c r="O807">
        <f t="shared" si="70"/>
        <v>105</v>
      </c>
      <c r="P807">
        <f t="shared" si="71"/>
        <v>108</v>
      </c>
      <c r="Q807">
        <f t="shared" si="71"/>
        <v>107</v>
      </c>
      <c r="R807">
        <f t="shared" si="71"/>
        <v>97</v>
      </c>
      <c r="S807">
        <f t="shared" si="71"/>
        <v>121</v>
      </c>
      <c r="T807">
        <f t="shared" si="71"/>
        <v>46</v>
      </c>
      <c r="U807">
        <f t="shared" si="71"/>
        <v>117</v>
      </c>
      <c r="V807">
        <f t="shared" si="71"/>
        <v>121</v>
      </c>
      <c r="W807" s="5">
        <f t="shared" si="67"/>
        <v>909</v>
      </c>
      <c r="X807" s="9" t="str">
        <f t="shared" si="68"/>
        <v>l909</v>
      </c>
    </row>
    <row r="808" spans="1:24" x14ac:dyDescent="0.2">
      <c r="A808" s="9" t="s">
        <v>425</v>
      </c>
      <c r="B808" s="9">
        <v>1</v>
      </c>
      <c r="C808" s="22">
        <v>13</v>
      </c>
      <c r="D808" s="12">
        <v>45173</v>
      </c>
      <c r="E808" s="18">
        <v>45257</v>
      </c>
      <c r="F808" s="18" t="s">
        <v>364</v>
      </c>
      <c r="G808" s="20" t="s">
        <v>31</v>
      </c>
      <c r="H808" s="19">
        <v>1</v>
      </c>
      <c r="I808" s="20" t="s">
        <v>207</v>
      </c>
      <c r="J808" s="34">
        <v>45230</v>
      </c>
      <c r="K808" s="19">
        <v>0.85</v>
      </c>
      <c r="L808" s="20">
        <f t="shared" si="69"/>
        <v>661</v>
      </c>
      <c r="M808" s="4">
        <f>IF(Table3[[#This Row],[Afrondingsdatum YB]]="N/A","-",Table3[[#This Row],[Afrondingsdatum YB]]-Table3[[#This Row],[StartDatum]])</f>
        <v>57</v>
      </c>
      <c r="N808" s="4"/>
      <c r="O808">
        <f t="shared" si="70"/>
        <v>106</v>
      </c>
      <c r="P808">
        <f t="shared" si="71"/>
        <v>97</v>
      </c>
      <c r="Q808">
        <f t="shared" si="71"/>
        <v>109</v>
      </c>
      <c r="R808">
        <f t="shared" si="71"/>
        <v>97</v>
      </c>
      <c r="S808">
        <f t="shared" si="71"/>
        <v>108</v>
      </c>
      <c r="T808">
        <f t="shared" si="71"/>
        <v>46</v>
      </c>
      <c r="U808">
        <f t="shared" si="71"/>
        <v>98</v>
      </c>
      <c r="V808">
        <f t="shared" si="71"/>
        <v>97</v>
      </c>
      <c r="W808" s="5">
        <f t="shared" si="67"/>
        <v>855</v>
      </c>
      <c r="X808" s="9" t="str">
        <f t="shared" si="68"/>
        <v>a855</v>
      </c>
    </row>
    <row r="809" spans="1:24" x14ac:dyDescent="0.2">
      <c r="A809" s="9" t="s">
        <v>425</v>
      </c>
      <c r="B809" s="9">
        <v>1</v>
      </c>
      <c r="C809" s="22">
        <v>13</v>
      </c>
      <c r="D809" s="12">
        <v>45173</v>
      </c>
      <c r="E809" s="23">
        <v>45257</v>
      </c>
      <c r="F809" s="23" t="s">
        <v>364</v>
      </c>
      <c r="G809" s="25" t="s">
        <v>75</v>
      </c>
      <c r="H809" s="24">
        <v>0</v>
      </c>
      <c r="I809" s="25" t="s">
        <v>8</v>
      </c>
      <c r="J809" s="25" t="s">
        <v>7</v>
      </c>
      <c r="K809" s="25" t="s">
        <v>9</v>
      </c>
      <c r="L809" s="25">
        <f t="shared" si="69"/>
        <v>698</v>
      </c>
      <c r="M809" s="4" t="str">
        <f>IF(Table3[[#This Row],[Afrondingsdatum YB]]="N/A","-",Table3[[#This Row],[Afrondingsdatum YB]]-Table3[[#This Row],[StartDatum]])</f>
        <v>-</v>
      </c>
      <c r="N809" s="4"/>
      <c r="O809">
        <f t="shared" si="70"/>
        <v>74</v>
      </c>
      <c r="P809">
        <f t="shared" si="71"/>
        <v>97</v>
      </c>
      <c r="Q809">
        <f t="shared" si="71"/>
        <v>109</v>
      </c>
      <c r="R809">
        <f t="shared" si="71"/>
        <v>105</v>
      </c>
      <c r="S809">
        <f t="shared" si="71"/>
        <v>108</v>
      </c>
      <c r="T809">
        <f t="shared" si="71"/>
        <v>108</v>
      </c>
      <c r="U809">
        <f t="shared" si="71"/>
        <v>97</v>
      </c>
      <c r="V809">
        <f t="shared" si="71"/>
        <v>98</v>
      </c>
      <c r="W809" s="5">
        <f t="shared" ref="W809:W872" si="72">ROUND((O809*O$1+P809/P$1+Q809*Q$1+R809/R$1)+SUM(S809:V809),0)</f>
        <v>887</v>
      </c>
      <c r="X809" s="9" t="str">
        <f t="shared" ref="X809:X872" si="73">MID(G809,2,1)&amp;TEXT(W809,"###")</f>
        <v>a887</v>
      </c>
    </row>
    <row r="810" spans="1:24" x14ac:dyDescent="0.2">
      <c r="A810" s="9" t="s">
        <v>425</v>
      </c>
      <c r="B810" s="9">
        <v>1</v>
      </c>
      <c r="C810" s="22">
        <v>13</v>
      </c>
      <c r="D810" s="12">
        <v>45173</v>
      </c>
      <c r="E810" s="18">
        <v>45257</v>
      </c>
      <c r="F810" s="18" t="s">
        <v>363</v>
      </c>
      <c r="G810" s="20" t="s">
        <v>32</v>
      </c>
      <c r="H810" s="19">
        <v>1</v>
      </c>
      <c r="I810" s="20" t="s">
        <v>181</v>
      </c>
      <c r="J810" s="34">
        <v>45209</v>
      </c>
      <c r="K810" s="19">
        <v>0.78</v>
      </c>
      <c r="L810" s="20">
        <f t="shared" si="69"/>
        <v>698</v>
      </c>
      <c r="M810" s="4">
        <f>IF(Table3[[#This Row],[Afrondingsdatum YB]]="N/A","-",Table3[[#This Row],[Afrondingsdatum YB]]-Table3[[#This Row],[StartDatum]])</f>
        <v>36</v>
      </c>
      <c r="N810" s="4"/>
      <c r="O810">
        <f t="shared" si="70"/>
        <v>106</v>
      </c>
      <c r="P810">
        <f t="shared" si="71"/>
        <v>97</v>
      </c>
      <c r="Q810">
        <f t="shared" si="71"/>
        <v>114</v>
      </c>
      <c r="R810">
        <f t="shared" si="71"/>
        <v>114</v>
      </c>
      <c r="S810">
        <f t="shared" si="71"/>
        <v>111</v>
      </c>
      <c r="T810">
        <f t="shared" si="71"/>
        <v>110</v>
      </c>
      <c r="U810">
        <f t="shared" si="71"/>
        <v>46</v>
      </c>
      <c r="V810">
        <f t="shared" si="71"/>
        <v>118</v>
      </c>
      <c r="W810" s="5">
        <f t="shared" si="72"/>
        <v>910</v>
      </c>
      <c r="X810" s="9" t="str">
        <f t="shared" si="73"/>
        <v>a910</v>
      </c>
    </row>
    <row r="811" spans="1:24" x14ac:dyDescent="0.2">
      <c r="A811" s="9" t="s">
        <v>425</v>
      </c>
      <c r="B811" s="9">
        <v>1</v>
      </c>
      <c r="C811" s="22">
        <v>13</v>
      </c>
      <c r="D811" s="12">
        <v>45173</v>
      </c>
      <c r="E811" s="23">
        <v>45257</v>
      </c>
      <c r="F811" s="23" t="s">
        <v>362</v>
      </c>
      <c r="G811" s="25" t="s">
        <v>33</v>
      </c>
      <c r="H811" s="24">
        <v>0.36</v>
      </c>
      <c r="I811" s="25" t="s">
        <v>228</v>
      </c>
      <c r="J811" s="25" t="s">
        <v>7</v>
      </c>
      <c r="K811" s="25" t="s">
        <v>9</v>
      </c>
      <c r="L811" s="25">
        <f t="shared" si="69"/>
        <v>707</v>
      </c>
      <c r="M811" s="4" t="str">
        <f>IF(Table3[[#This Row],[Afrondingsdatum YB]]="N/A","-",Table3[[#This Row],[Afrondingsdatum YB]]-Table3[[#This Row],[StartDatum]])</f>
        <v>-</v>
      </c>
      <c r="N811" s="4"/>
      <c r="O811">
        <f t="shared" si="70"/>
        <v>106</v>
      </c>
      <c r="P811">
        <f t="shared" si="71"/>
        <v>101</v>
      </c>
      <c r="Q811">
        <f t="shared" si="71"/>
        <v>118</v>
      </c>
      <c r="R811">
        <f t="shared" si="71"/>
        <v>111</v>
      </c>
      <c r="S811">
        <f t="shared" si="71"/>
        <v>110</v>
      </c>
      <c r="T811">
        <f t="shared" si="71"/>
        <v>46</v>
      </c>
      <c r="U811">
        <f t="shared" si="71"/>
        <v>115</v>
      </c>
      <c r="V811">
        <f t="shared" si="71"/>
        <v>109</v>
      </c>
      <c r="W811" s="5">
        <f t="shared" si="72"/>
        <v>918</v>
      </c>
      <c r="X811" s="9" t="str">
        <f t="shared" si="73"/>
        <v>e918</v>
      </c>
    </row>
    <row r="812" spans="1:24" x14ac:dyDescent="0.2">
      <c r="A812" s="9" t="s">
        <v>425</v>
      </c>
      <c r="B812" s="9">
        <v>1</v>
      </c>
      <c r="C812" s="22">
        <v>13</v>
      </c>
      <c r="D812" s="12">
        <v>45173</v>
      </c>
      <c r="E812" s="18">
        <v>45257</v>
      </c>
      <c r="F812" s="18" t="s">
        <v>362</v>
      </c>
      <c r="G812" s="20" t="s">
        <v>125</v>
      </c>
      <c r="H812" s="19">
        <v>1</v>
      </c>
      <c r="I812" s="20" t="s">
        <v>259</v>
      </c>
      <c r="J812" s="34">
        <v>45238</v>
      </c>
      <c r="K812" s="19">
        <v>0.93</v>
      </c>
      <c r="L812" s="20">
        <f t="shared" si="69"/>
        <v>689</v>
      </c>
      <c r="M812" s="4">
        <f>IF(Table3[[#This Row],[Afrondingsdatum YB]]="N/A","-",Table3[[#This Row],[Afrondingsdatum YB]]-Table3[[#This Row],[StartDatum]])</f>
        <v>65</v>
      </c>
      <c r="N812" s="4"/>
      <c r="O812">
        <f t="shared" si="70"/>
        <v>106</v>
      </c>
      <c r="P812">
        <f t="shared" si="71"/>
        <v>111</v>
      </c>
      <c r="Q812">
        <f t="shared" si="71"/>
        <v>98</v>
      </c>
      <c r="R812">
        <f t="shared" si="71"/>
        <v>46</v>
      </c>
      <c r="S812">
        <f t="shared" si="71"/>
        <v>107</v>
      </c>
      <c r="T812">
        <f t="shared" si="71"/>
        <v>110</v>
      </c>
      <c r="U812">
        <f t="shared" si="71"/>
        <v>111</v>
      </c>
      <c r="V812">
        <f t="shared" si="71"/>
        <v>111</v>
      </c>
      <c r="W812" s="5">
        <f t="shared" si="72"/>
        <v>906</v>
      </c>
      <c r="X812" s="9" t="str">
        <f t="shared" si="73"/>
        <v>o906</v>
      </c>
    </row>
    <row r="813" spans="1:24" x14ac:dyDescent="0.2">
      <c r="A813" s="9" t="s">
        <v>425</v>
      </c>
      <c r="B813" s="9">
        <v>1</v>
      </c>
      <c r="C813" s="22">
        <v>13</v>
      </c>
      <c r="D813" s="12">
        <v>45173</v>
      </c>
      <c r="E813" s="23">
        <v>45257</v>
      </c>
      <c r="F813" s="23" t="s">
        <v>362</v>
      </c>
      <c r="G813" s="25" t="s">
        <v>34</v>
      </c>
      <c r="H813" s="24">
        <v>1</v>
      </c>
      <c r="I813" s="25" t="s">
        <v>148</v>
      </c>
      <c r="J813" s="32">
        <v>45238</v>
      </c>
      <c r="K813" s="24">
        <v>0.85</v>
      </c>
      <c r="L813" s="25">
        <f t="shared" si="69"/>
        <v>676</v>
      </c>
      <c r="M813" s="4">
        <f>IF(Table3[[#This Row],[Afrondingsdatum YB]]="N/A","-",Table3[[#This Row],[Afrondingsdatum YB]]-Table3[[#This Row],[StartDatum]])</f>
        <v>65</v>
      </c>
      <c r="N813" s="4"/>
      <c r="O813">
        <f t="shared" si="70"/>
        <v>106</v>
      </c>
      <c r="P813">
        <f t="shared" si="71"/>
        <v>111</v>
      </c>
      <c r="Q813">
        <f t="shared" si="71"/>
        <v>99</v>
      </c>
      <c r="R813">
        <f t="shared" si="71"/>
        <v>104</v>
      </c>
      <c r="S813">
        <f t="shared" si="71"/>
        <v>101</v>
      </c>
      <c r="T813">
        <f t="shared" si="71"/>
        <v>109</v>
      </c>
      <c r="U813">
        <f t="shared" si="71"/>
        <v>46</v>
      </c>
      <c r="V813">
        <f t="shared" si="71"/>
        <v>104</v>
      </c>
      <c r="W813" s="5">
        <f t="shared" si="72"/>
        <v>845</v>
      </c>
      <c r="X813" s="9" t="str">
        <f t="shared" si="73"/>
        <v>o845</v>
      </c>
    </row>
    <row r="814" spans="1:24" x14ac:dyDescent="0.2">
      <c r="A814" s="9" t="s">
        <v>425</v>
      </c>
      <c r="B814" s="9">
        <v>1</v>
      </c>
      <c r="C814" s="22">
        <v>13</v>
      </c>
      <c r="D814" s="12">
        <v>45173</v>
      </c>
      <c r="E814" s="18">
        <v>45257</v>
      </c>
      <c r="F814" s="18" t="s">
        <v>362</v>
      </c>
      <c r="G814" s="20" t="s">
        <v>35</v>
      </c>
      <c r="H814" s="19">
        <v>1</v>
      </c>
      <c r="I814" s="20" t="s">
        <v>260</v>
      </c>
      <c r="J814" s="34">
        <v>45238</v>
      </c>
      <c r="K814" s="19">
        <v>0.9</v>
      </c>
      <c r="L814" s="20">
        <f t="shared" si="69"/>
        <v>704</v>
      </c>
      <c r="M814" s="4">
        <f>IF(Table3[[#This Row],[Afrondingsdatum YB]]="N/A","-",Table3[[#This Row],[Afrondingsdatum YB]]-Table3[[#This Row],[StartDatum]])</f>
        <v>65</v>
      </c>
      <c r="N814" s="4"/>
      <c r="O814">
        <f t="shared" si="70"/>
        <v>106</v>
      </c>
      <c r="P814">
        <f t="shared" si="71"/>
        <v>111</v>
      </c>
      <c r="Q814">
        <f t="shared" si="71"/>
        <v>114</v>
      </c>
      <c r="R814">
        <f t="shared" si="71"/>
        <v>105</v>
      </c>
      <c r="S814">
        <f t="shared" si="71"/>
        <v>115</v>
      </c>
      <c r="T814">
        <f t="shared" si="71"/>
        <v>46</v>
      </c>
      <c r="U814">
        <f t="shared" si="71"/>
        <v>107</v>
      </c>
      <c r="V814">
        <f t="shared" si="71"/>
        <v>111</v>
      </c>
      <c r="W814" s="5">
        <f t="shared" si="72"/>
        <v>909</v>
      </c>
      <c r="X814" s="9" t="str">
        <f t="shared" si="73"/>
        <v>o909</v>
      </c>
    </row>
    <row r="815" spans="1:24" x14ac:dyDescent="0.2">
      <c r="A815" s="9" t="s">
        <v>425</v>
      </c>
      <c r="B815" s="9">
        <v>1</v>
      </c>
      <c r="C815" s="22">
        <v>13</v>
      </c>
      <c r="D815" s="12">
        <v>45173</v>
      </c>
      <c r="E815" s="23">
        <v>45257</v>
      </c>
      <c r="F815" s="23" t="s">
        <v>364</v>
      </c>
      <c r="G815" s="25" t="s">
        <v>36</v>
      </c>
      <c r="H815" s="24">
        <v>1</v>
      </c>
      <c r="I815" s="25" t="s">
        <v>179</v>
      </c>
      <c r="J815" s="32">
        <v>45236</v>
      </c>
      <c r="K815" s="24">
        <v>0.8</v>
      </c>
      <c r="L815" s="25">
        <f t="shared" si="69"/>
        <v>657</v>
      </c>
      <c r="M815" s="4">
        <f>IF(Table3[[#This Row],[Afrondingsdatum YB]]="N/A","-",Table3[[#This Row],[Afrondingsdatum YB]]-Table3[[#This Row],[StartDatum]])</f>
        <v>63</v>
      </c>
      <c r="N815" s="4"/>
      <c r="O815">
        <f t="shared" si="70"/>
        <v>74</v>
      </c>
      <c r="P815">
        <f t="shared" si="71"/>
        <v>117</v>
      </c>
      <c r="Q815">
        <f t="shared" si="71"/>
        <v>108</v>
      </c>
      <c r="R815">
        <f t="shared" si="71"/>
        <v>105</v>
      </c>
      <c r="S815">
        <f t="shared" si="71"/>
        <v>97</v>
      </c>
      <c r="T815">
        <f t="shared" si="71"/>
        <v>110</v>
      </c>
      <c r="U815">
        <f t="shared" si="71"/>
        <v>46</v>
      </c>
      <c r="V815">
        <f t="shared" si="71"/>
        <v>68</v>
      </c>
      <c r="W815" s="5">
        <f t="shared" si="72"/>
        <v>804</v>
      </c>
      <c r="X815" s="9" t="str">
        <f t="shared" si="73"/>
        <v>u804</v>
      </c>
    </row>
    <row r="816" spans="1:24" x14ac:dyDescent="0.2">
      <c r="A816" s="9" t="s">
        <v>425</v>
      </c>
      <c r="B816" s="9">
        <v>1</v>
      </c>
      <c r="C816" s="22">
        <v>13</v>
      </c>
      <c r="D816" s="12">
        <v>45173</v>
      </c>
      <c r="E816" s="18">
        <v>45257</v>
      </c>
      <c r="F816" s="18" t="s">
        <v>363</v>
      </c>
      <c r="G816" s="20" t="s">
        <v>37</v>
      </c>
      <c r="H816" s="19">
        <v>1</v>
      </c>
      <c r="I816" s="20" t="s">
        <v>207</v>
      </c>
      <c r="J816" s="34">
        <v>45228</v>
      </c>
      <c r="K816" s="19">
        <v>0.8</v>
      </c>
      <c r="L816" s="20">
        <f t="shared" si="69"/>
        <v>689</v>
      </c>
      <c r="M816" s="4">
        <f>IF(Table3[[#This Row],[Afrondingsdatum YB]]="N/A","-",Table3[[#This Row],[Afrondingsdatum YB]]-Table3[[#This Row],[StartDatum]])</f>
        <v>55</v>
      </c>
      <c r="N816" s="4"/>
      <c r="O816">
        <f t="shared" si="70"/>
        <v>106</v>
      </c>
      <c r="P816">
        <f t="shared" si="71"/>
        <v>117</v>
      </c>
      <c r="Q816">
        <f t="shared" ref="P816:V852" si="74">CODE(MID($G816,Q$1,1))</f>
        <v>108</v>
      </c>
      <c r="R816">
        <f t="shared" si="74"/>
        <v>105</v>
      </c>
      <c r="S816">
        <f t="shared" si="74"/>
        <v>97</v>
      </c>
      <c r="T816">
        <f t="shared" si="74"/>
        <v>110</v>
      </c>
      <c r="U816">
        <f t="shared" si="74"/>
        <v>46</v>
      </c>
      <c r="V816">
        <f t="shared" si="74"/>
        <v>118</v>
      </c>
      <c r="W816" s="5">
        <f t="shared" si="72"/>
        <v>886</v>
      </c>
      <c r="X816" s="9" t="str">
        <f t="shared" si="73"/>
        <v>u886</v>
      </c>
    </row>
    <row r="817" spans="1:24" x14ac:dyDescent="0.2">
      <c r="A817" s="9" t="s">
        <v>425</v>
      </c>
      <c r="B817" s="9">
        <v>1</v>
      </c>
      <c r="C817" s="22">
        <v>13</v>
      </c>
      <c r="D817" s="12">
        <v>45173</v>
      </c>
      <c r="E817" s="23">
        <v>45257</v>
      </c>
      <c r="F817" s="23" t="s">
        <v>363</v>
      </c>
      <c r="G817" s="25" t="s">
        <v>38</v>
      </c>
      <c r="H817" s="24">
        <v>1</v>
      </c>
      <c r="I817" s="25" t="s">
        <v>208</v>
      </c>
      <c r="J817" s="32">
        <v>45223</v>
      </c>
      <c r="K817" s="24">
        <v>0.8</v>
      </c>
      <c r="L817" s="25">
        <f t="shared" si="69"/>
        <v>671</v>
      </c>
      <c r="M817" s="4">
        <f>IF(Table3[[#This Row],[Afrondingsdatum YB]]="N/A","-",Table3[[#This Row],[Afrondingsdatum YB]]-Table3[[#This Row],[StartDatum]])</f>
        <v>50</v>
      </c>
      <c r="N817" s="4"/>
      <c r="O817">
        <f t="shared" si="70"/>
        <v>107</v>
      </c>
      <c r="P817">
        <f t="shared" si="74"/>
        <v>97</v>
      </c>
      <c r="Q817">
        <f t="shared" si="74"/>
        <v>105</v>
      </c>
      <c r="R817">
        <f t="shared" si="74"/>
        <v>46</v>
      </c>
      <c r="S817">
        <f t="shared" si="74"/>
        <v>104</v>
      </c>
      <c r="T817">
        <f t="shared" si="74"/>
        <v>97</v>
      </c>
      <c r="U817">
        <f t="shared" si="74"/>
        <v>115</v>
      </c>
      <c r="V817">
        <f t="shared" si="74"/>
        <v>115</v>
      </c>
      <c r="W817" s="5">
        <f t="shared" si="72"/>
        <v>913</v>
      </c>
      <c r="X817" s="9" t="str">
        <f t="shared" si="73"/>
        <v>a913</v>
      </c>
    </row>
    <row r="818" spans="1:24" x14ac:dyDescent="0.2">
      <c r="A818" s="9" t="s">
        <v>425</v>
      </c>
      <c r="B818" s="9">
        <v>1</v>
      </c>
      <c r="C818" s="22">
        <v>13</v>
      </c>
      <c r="D818" s="12">
        <v>45173</v>
      </c>
      <c r="E818" s="18">
        <v>45257</v>
      </c>
      <c r="F818" s="18" t="s">
        <v>362</v>
      </c>
      <c r="G818" s="20" t="s">
        <v>261</v>
      </c>
      <c r="H818" s="19">
        <v>1</v>
      </c>
      <c r="I818" s="20" t="s">
        <v>105</v>
      </c>
      <c r="J818" s="34">
        <v>45239</v>
      </c>
      <c r="K818" s="19">
        <v>0.73</v>
      </c>
      <c r="L818" s="20">
        <f t="shared" si="69"/>
        <v>679</v>
      </c>
      <c r="M818" s="4">
        <f>IF(Table3[[#This Row],[Afrondingsdatum YB]]="N/A","-",Table3[[#This Row],[Afrondingsdatum YB]]-Table3[[#This Row],[StartDatum]])</f>
        <v>66</v>
      </c>
      <c r="N818" s="4"/>
      <c r="O818">
        <f t="shared" si="70"/>
        <v>107</v>
      </c>
      <c r="P818">
        <f t="shared" si="74"/>
        <v>101</v>
      </c>
      <c r="Q818">
        <f t="shared" si="74"/>
        <v>101</v>
      </c>
      <c r="R818">
        <f t="shared" si="74"/>
        <v>115</v>
      </c>
      <c r="S818">
        <f t="shared" si="74"/>
        <v>46</v>
      </c>
      <c r="T818">
        <f t="shared" si="74"/>
        <v>98</v>
      </c>
      <c r="U818">
        <f t="shared" si="74"/>
        <v>111</v>
      </c>
      <c r="V818">
        <f t="shared" si="74"/>
        <v>110</v>
      </c>
      <c r="W818" s="5">
        <f t="shared" si="72"/>
        <v>854</v>
      </c>
      <c r="X818" s="9" t="str">
        <f t="shared" si="73"/>
        <v>e854</v>
      </c>
    </row>
    <row r="819" spans="1:24" x14ac:dyDescent="0.2">
      <c r="A819" s="9" t="s">
        <v>425</v>
      </c>
      <c r="B819" s="9">
        <v>1</v>
      </c>
      <c r="C819" s="22">
        <v>13</v>
      </c>
      <c r="D819" s="12">
        <v>45173</v>
      </c>
      <c r="E819" s="23">
        <v>45257</v>
      </c>
      <c r="F819" s="23" t="s">
        <v>362</v>
      </c>
      <c r="G819" s="25" t="s">
        <v>39</v>
      </c>
      <c r="H819" s="24">
        <v>1</v>
      </c>
      <c r="I819" s="25" t="s">
        <v>226</v>
      </c>
      <c r="J819" s="32">
        <v>45226</v>
      </c>
      <c r="K819" s="24">
        <v>0.75</v>
      </c>
      <c r="L819" s="25">
        <f t="shared" si="69"/>
        <v>673</v>
      </c>
      <c r="M819" s="4">
        <f>IF(Table3[[#This Row],[Afrondingsdatum YB]]="N/A","-",Table3[[#This Row],[Afrondingsdatum YB]]-Table3[[#This Row],[StartDatum]])</f>
        <v>53</v>
      </c>
      <c r="N819" s="4"/>
      <c r="O819">
        <f t="shared" si="70"/>
        <v>107</v>
      </c>
      <c r="P819">
        <f t="shared" si="74"/>
        <v>101</v>
      </c>
      <c r="Q819">
        <f t="shared" si="74"/>
        <v>110</v>
      </c>
      <c r="R819">
        <f t="shared" si="74"/>
        <v>97</v>
      </c>
      <c r="S819">
        <f t="shared" si="74"/>
        <v>110</v>
      </c>
      <c r="T819">
        <f t="shared" si="74"/>
        <v>46</v>
      </c>
      <c r="U819">
        <f t="shared" si="74"/>
        <v>102</v>
      </c>
      <c r="V819">
        <f t="shared" si="74"/>
        <v>108</v>
      </c>
      <c r="W819" s="5">
        <f t="shared" si="72"/>
        <v>878</v>
      </c>
      <c r="X819" s="9" t="str">
        <f t="shared" si="73"/>
        <v>e878</v>
      </c>
    </row>
    <row r="820" spans="1:24" x14ac:dyDescent="0.2">
      <c r="A820" s="9" t="s">
        <v>425</v>
      </c>
      <c r="B820" s="9">
        <v>1</v>
      </c>
      <c r="C820" s="22">
        <v>13</v>
      </c>
      <c r="D820" s="12">
        <v>45173</v>
      </c>
      <c r="E820" s="18">
        <v>45257</v>
      </c>
      <c r="F820" s="18" t="s">
        <v>363</v>
      </c>
      <c r="G820" s="20" t="s">
        <v>40</v>
      </c>
      <c r="H820" s="19">
        <v>1</v>
      </c>
      <c r="I820" s="20" t="s">
        <v>227</v>
      </c>
      <c r="J820" s="34">
        <v>45225</v>
      </c>
      <c r="K820" s="19">
        <v>0.85</v>
      </c>
      <c r="L820" s="20">
        <f t="shared" si="69"/>
        <v>685</v>
      </c>
      <c r="M820" s="4">
        <f>IF(Table3[[#This Row],[Afrondingsdatum YB]]="N/A","-",Table3[[#This Row],[Afrondingsdatum YB]]-Table3[[#This Row],[StartDatum]])</f>
        <v>52</v>
      </c>
      <c r="N820" s="4"/>
      <c r="O820">
        <f t="shared" si="70"/>
        <v>107</v>
      </c>
      <c r="P820">
        <f t="shared" si="74"/>
        <v>101</v>
      </c>
      <c r="Q820">
        <f t="shared" si="74"/>
        <v>118</v>
      </c>
      <c r="R820">
        <f t="shared" si="74"/>
        <v>105</v>
      </c>
      <c r="S820">
        <f t="shared" si="74"/>
        <v>110</v>
      </c>
      <c r="T820">
        <f t="shared" si="74"/>
        <v>46</v>
      </c>
      <c r="U820">
        <f t="shared" si="74"/>
        <v>98</v>
      </c>
      <c r="V820">
        <f t="shared" si="74"/>
        <v>97</v>
      </c>
      <c r="W820" s="5">
        <f t="shared" si="72"/>
        <v>889</v>
      </c>
      <c r="X820" s="9" t="str">
        <f t="shared" si="73"/>
        <v>e889</v>
      </c>
    </row>
    <row r="821" spans="1:24" x14ac:dyDescent="0.2">
      <c r="A821" s="9" t="s">
        <v>425</v>
      </c>
      <c r="B821" s="9">
        <v>1</v>
      </c>
      <c r="C821" s="22">
        <v>13</v>
      </c>
      <c r="D821" s="12">
        <v>45173</v>
      </c>
      <c r="E821" s="23">
        <v>45257</v>
      </c>
      <c r="F821" s="23" t="s">
        <v>363</v>
      </c>
      <c r="G821" s="25" t="s">
        <v>41</v>
      </c>
      <c r="H821" s="24">
        <v>1</v>
      </c>
      <c r="I821" s="25" t="s">
        <v>121</v>
      </c>
      <c r="J821" s="32">
        <v>45218</v>
      </c>
      <c r="K821" s="24">
        <v>0.83</v>
      </c>
      <c r="L821" s="25">
        <f t="shared" si="69"/>
        <v>694</v>
      </c>
      <c r="M821" s="4">
        <f>IF(Table3[[#This Row],[Afrondingsdatum YB]]="N/A","-",Table3[[#This Row],[Afrondingsdatum YB]]-Table3[[#This Row],[StartDatum]])</f>
        <v>45</v>
      </c>
      <c r="N821" s="4"/>
      <c r="O821">
        <f t="shared" si="70"/>
        <v>107</v>
      </c>
      <c r="P821">
        <f t="shared" si="74"/>
        <v>106</v>
      </c>
      <c r="Q821">
        <f t="shared" si="74"/>
        <v>101</v>
      </c>
      <c r="R821">
        <f t="shared" si="74"/>
        <v>108</v>
      </c>
      <c r="S821">
        <f t="shared" si="74"/>
        <v>108</v>
      </c>
      <c r="T821">
        <f t="shared" si="74"/>
        <v>46</v>
      </c>
      <c r="U821">
        <f t="shared" si="74"/>
        <v>118</v>
      </c>
      <c r="V821">
        <f t="shared" si="74"/>
        <v>97</v>
      </c>
      <c r="W821" s="5">
        <f t="shared" si="72"/>
        <v>859</v>
      </c>
      <c r="X821" s="9" t="str">
        <f t="shared" si="73"/>
        <v>j859</v>
      </c>
    </row>
    <row r="822" spans="1:24" x14ac:dyDescent="0.2">
      <c r="A822" s="9" t="s">
        <v>425</v>
      </c>
      <c r="B822" s="9">
        <v>1</v>
      </c>
      <c r="C822" s="22">
        <v>13</v>
      </c>
      <c r="D822" s="12">
        <v>45173</v>
      </c>
      <c r="E822" s="18">
        <v>45257</v>
      </c>
      <c r="F822" s="18" t="s">
        <v>362</v>
      </c>
      <c r="G822" s="20" t="s">
        <v>79</v>
      </c>
      <c r="H822" s="19">
        <v>1</v>
      </c>
      <c r="I822" s="20" t="s">
        <v>72</v>
      </c>
      <c r="J822" s="34">
        <v>45214</v>
      </c>
      <c r="K822" s="19">
        <v>0.7</v>
      </c>
      <c r="L822" s="20">
        <f t="shared" si="69"/>
        <v>679</v>
      </c>
      <c r="M822" s="4">
        <f>IF(Table3[[#This Row],[Afrondingsdatum YB]]="N/A","-",Table3[[#This Row],[Afrondingsdatum YB]]-Table3[[#This Row],[StartDatum]])</f>
        <v>41</v>
      </c>
      <c r="N822" s="4"/>
      <c r="O822">
        <f t="shared" si="70"/>
        <v>108</v>
      </c>
      <c r="P822">
        <f t="shared" si="74"/>
        <v>97</v>
      </c>
      <c r="Q822">
        <f t="shared" si="74"/>
        <v>109</v>
      </c>
      <c r="R822">
        <f t="shared" si="74"/>
        <v>121</v>
      </c>
      <c r="S822">
        <f t="shared" si="74"/>
        <v>97</v>
      </c>
      <c r="T822">
        <f t="shared" si="74"/>
        <v>101</v>
      </c>
      <c r="U822">
        <f t="shared" si="74"/>
        <v>46</v>
      </c>
      <c r="V822">
        <f t="shared" si="74"/>
        <v>101</v>
      </c>
      <c r="W822" s="5">
        <f t="shared" si="72"/>
        <v>859</v>
      </c>
      <c r="X822" s="9" t="str">
        <f t="shared" si="73"/>
        <v>a859</v>
      </c>
    </row>
    <row r="823" spans="1:24" x14ac:dyDescent="0.2">
      <c r="A823" s="9" t="s">
        <v>425</v>
      </c>
      <c r="B823" s="9">
        <v>1</v>
      </c>
      <c r="C823" s="22">
        <v>13</v>
      </c>
      <c r="D823" s="12">
        <v>45173</v>
      </c>
      <c r="E823" s="23">
        <v>45257</v>
      </c>
      <c r="F823" s="23" t="s">
        <v>363</v>
      </c>
      <c r="G823" s="25" t="s">
        <v>42</v>
      </c>
      <c r="H823" s="24">
        <v>1</v>
      </c>
      <c r="I823" s="25" t="s">
        <v>121</v>
      </c>
      <c r="J823" s="32">
        <v>45227</v>
      </c>
      <c r="K823" s="24">
        <v>0.7</v>
      </c>
      <c r="L823" s="25">
        <f t="shared" si="69"/>
        <v>687</v>
      </c>
      <c r="M823" s="4">
        <f>IF(Table3[[#This Row],[Afrondingsdatum YB]]="N/A","-",Table3[[#This Row],[Afrondingsdatum YB]]-Table3[[#This Row],[StartDatum]])</f>
        <v>54</v>
      </c>
      <c r="N823" s="4"/>
      <c r="O823">
        <f t="shared" si="70"/>
        <v>108</v>
      </c>
      <c r="P823">
        <f t="shared" si="74"/>
        <v>105</v>
      </c>
      <c r="Q823">
        <f t="shared" si="74"/>
        <v>110</v>
      </c>
      <c r="R823">
        <f t="shared" si="74"/>
        <v>100</v>
      </c>
      <c r="S823">
        <f t="shared" si="74"/>
        <v>121</v>
      </c>
      <c r="T823">
        <f t="shared" si="74"/>
        <v>46</v>
      </c>
      <c r="U823">
        <f t="shared" si="74"/>
        <v>97</v>
      </c>
      <c r="V823">
        <f t="shared" si="74"/>
        <v>110</v>
      </c>
      <c r="W823" s="5">
        <f t="shared" si="72"/>
        <v>890</v>
      </c>
      <c r="X823" s="9" t="str">
        <f t="shared" si="73"/>
        <v>i890</v>
      </c>
    </row>
    <row r="824" spans="1:24" x14ac:dyDescent="0.2">
      <c r="A824" s="9" t="s">
        <v>425</v>
      </c>
      <c r="B824" s="9">
        <v>1</v>
      </c>
      <c r="C824" s="22">
        <v>13</v>
      </c>
      <c r="D824" s="12">
        <v>45173</v>
      </c>
      <c r="E824" s="18">
        <v>45257</v>
      </c>
      <c r="F824" s="18" t="s">
        <v>363</v>
      </c>
      <c r="G824" s="20" t="s">
        <v>43</v>
      </c>
      <c r="H824" s="19">
        <v>1</v>
      </c>
      <c r="I824" s="20" t="s">
        <v>262</v>
      </c>
      <c r="J824" s="20" t="s">
        <v>7</v>
      </c>
      <c r="K824" s="20" t="s">
        <v>9</v>
      </c>
      <c r="L824" s="20">
        <f t="shared" si="69"/>
        <v>689</v>
      </c>
      <c r="M824" s="4" t="str">
        <f>IF(Table3[[#This Row],[Afrondingsdatum YB]]="N/A","-",Table3[[#This Row],[Afrondingsdatum YB]]-Table3[[#This Row],[StartDatum]])</f>
        <v>-</v>
      </c>
      <c r="N824" s="4"/>
      <c r="O824">
        <f t="shared" si="70"/>
        <v>108</v>
      </c>
      <c r="P824">
        <f t="shared" si="74"/>
        <v>117</v>
      </c>
      <c r="Q824">
        <f t="shared" si="74"/>
        <v>99</v>
      </c>
      <c r="R824">
        <f t="shared" si="74"/>
        <v>46</v>
      </c>
      <c r="S824">
        <f t="shared" si="74"/>
        <v>98</v>
      </c>
      <c r="T824">
        <f t="shared" si="74"/>
        <v>111</v>
      </c>
      <c r="U824">
        <f t="shared" si="74"/>
        <v>110</v>
      </c>
      <c r="V824">
        <f t="shared" si="74"/>
        <v>100</v>
      </c>
      <c r="W824" s="5">
        <f t="shared" si="72"/>
        <v>894</v>
      </c>
      <c r="X824" s="9" t="str">
        <f t="shared" si="73"/>
        <v>u894</v>
      </c>
    </row>
    <row r="825" spans="1:24" x14ac:dyDescent="0.2">
      <c r="A825" s="9" t="s">
        <v>425</v>
      </c>
      <c r="B825" s="9">
        <v>1</v>
      </c>
      <c r="C825" s="22">
        <v>13</v>
      </c>
      <c r="D825" s="12">
        <v>45173</v>
      </c>
      <c r="E825" s="23">
        <v>45257</v>
      </c>
      <c r="F825" s="23" t="s">
        <v>364</v>
      </c>
      <c r="G825" s="25" t="s">
        <v>44</v>
      </c>
      <c r="H825" s="24">
        <v>1</v>
      </c>
      <c r="I825" s="25" t="s">
        <v>102</v>
      </c>
      <c r="J825" s="32">
        <v>45217</v>
      </c>
      <c r="K825" s="24">
        <v>0.73</v>
      </c>
      <c r="L825" s="25">
        <f t="shared" si="69"/>
        <v>680</v>
      </c>
      <c r="M825" s="4">
        <f>IF(Table3[[#This Row],[Afrondingsdatum YB]]="N/A","-",Table3[[#This Row],[Afrondingsdatum YB]]-Table3[[#This Row],[StartDatum]])</f>
        <v>44</v>
      </c>
      <c r="N825" s="4"/>
      <c r="O825">
        <f t="shared" si="70"/>
        <v>108</v>
      </c>
      <c r="P825">
        <f t="shared" si="74"/>
        <v>117</v>
      </c>
      <c r="Q825">
        <f t="shared" si="74"/>
        <v>99</v>
      </c>
      <c r="R825">
        <f t="shared" si="74"/>
        <v>97</v>
      </c>
      <c r="S825">
        <f t="shared" si="74"/>
        <v>115</v>
      </c>
      <c r="T825">
        <f t="shared" si="74"/>
        <v>46</v>
      </c>
      <c r="U825">
        <f t="shared" si="74"/>
        <v>98</v>
      </c>
      <c r="V825">
        <f t="shared" si="74"/>
        <v>114</v>
      </c>
      <c r="W825" s="5">
        <f t="shared" si="72"/>
        <v>861</v>
      </c>
      <c r="X825" s="9" t="str">
        <f t="shared" si="73"/>
        <v>u861</v>
      </c>
    </row>
    <row r="826" spans="1:24" x14ac:dyDescent="0.2">
      <c r="A826" s="9" t="s">
        <v>425</v>
      </c>
      <c r="B826" s="9">
        <v>1</v>
      </c>
      <c r="C826" s="22">
        <v>13</v>
      </c>
      <c r="D826" s="12">
        <v>45173</v>
      </c>
      <c r="E826" s="18">
        <v>45257</v>
      </c>
      <c r="F826" s="18" t="s">
        <v>363</v>
      </c>
      <c r="G826" s="20" t="s">
        <v>81</v>
      </c>
      <c r="H826" s="19">
        <v>1</v>
      </c>
      <c r="I826" s="20" t="s">
        <v>229</v>
      </c>
      <c r="J826" s="34">
        <v>45228</v>
      </c>
      <c r="K826" s="19">
        <v>0.7</v>
      </c>
      <c r="L826" s="20">
        <f t="shared" si="69"/>
        <v>668</v>
      </c>
      <c r="M826" s="4">
        <f>IF(Table3[[#This Row],[Afrondingsdatum YB]]="N/A","-",Table3[[#This Row],[Afrondingsdatum YB]]-Table3[[#This Row],[StartDatum]])</f>
        <v>55</v>
      </c>
      <c r="N826" s="4"/>
      <c r="O826">
        <f t="shared" si="70"/>
        <v>76</v>
      </c>
      <c r="P826">
        <f t="shared" si="74"/>
        <v>117</v>
      </c>
      <c r="Q826">
        <f t="shared" si="74"/>
        <v>99</v>
      </c>
      <c r="R826">
        <f t="shared" si="74"/>
        <v>97</v>
      </c>
      <c r="S826">
        <f t="shared" si="74"/>
        <v>115</v>
      </c>
      <c r="T826">
        <f t="shared" si="74"/>
        <v>46</v>
      </c>
      <c r="U826">
        <f t="shared" si="74"/>
        <v>118</v>
      </c>
      <c r="V826">
        <f t="shared" si="74"/>
        <v>97</v>
      </c>
      <c r="W826" s="5">
        <f t="shared" si="72"/>
        <v>832</v>
      </c>
      <c r="X826" s="9" t="str">
        <f t="shared" si="73"/>
        <v>u832</v>
      </c>
    </row>
    <row r="827" spans="1:24" x14ac:dyDescent="0.2">
      <c r="A827" s="9" t="s">
        <v>425</v>
      </c>
      <c r="B827" s="9">
        <v>1</v>
      </c>
      <c r="C827" s="22">
        <v>13</v>
      </c>
      <c r="D827" s="12">
        <v>45173</v>
      </c>
      <c r="E827" s="23">
        <v>45257</v>
      </c>
      <c r="F827" s="23" t="s">
        <v>364</v>
      </c>
      <c r="G827" s="25" t="s">
        <v>45</v>
      </c>
      <c r="H827" s="24">
        <v>1</v>
      </c>
      <c r="I827" s="25" t="s">
        <v>146</v>
      </c>
      <c r="J827" s="32">
        <v>45238</v>
      </c>
      <c r="K827" s="24">
        <v>0.85</v>
      </c>
      <c r="L827" s="25">
        <f t="shared" si="69"/>
        <v>757</v>
      </c>
      <c r="M827" s="4">
        <f>IF(Table3[[#This Row],[Afrondingsdatum YB]]="N/A","-",Table3[[#This Row],[Afrondingsdatum YB]]-Table3[[#This Row],[StartDatum]])</f>
        <v>65</v>
      </c>
      <c r="N827" s="4"/>
      <c r="O827">
        <f t="shared" si="70"/>
        <v>109</v>
      </c>
      <c r="P827">
        <f t="shared" si="74"/>
        <v>97</v>
      </c>
      <c r="Q827">
        <f t="shared" si="74"/>
        <v>114</v>
      </c>
      <c r="R827">
        <f t="shared" si="74"/>
        <v>116</v>
      </c>
      <c r="S827">
        <f t="shared" si="74"/>
        <v>105</v>
      </c>
      <c r="T827">
        <f t="shared" si="74"/>
        <v>106</v>
      </c>
      <c r="U827">
        <f t="shared" si="74"/>
        <v>110</v>
      </c>
      <c r="V827">
        <f t="shared" si="74"/>
        <v>46</v>
      </c>
      <c r="W827" s="5">
        <f t="shared" si="72"/>
        <v>896</v>
      </c>
      <c r="X827" s="9" t="str">
        <f t="shared" si="73"/>
        <v>a896</v>
      </c>
    </row>
    <row r="828" spans="1:24" x14ac:dyDescent="0.2">
      <c r="A828" s="9" t="s">
        <v>425</v>
      </c>
      <c r="B828" s="9">
        <v>1</v>
      </c>
      <c r="C828" s="22">
        <v>13</v>
      </c>
      <c r="D828" s="12">
        <v>45173</v>
      </c>
      <c r="E828" s="18">
        <v>45257</v>
      </c>
      <c r="F828" s="18" t="s">
        <v>364</v>
      </c>
      <c r="G828" s="20" t="s">
        <v>46</v>
      </c>
      <c r="H828" s="19">
        <v>1</v>
      </c>
      <c r="I828" s="20" t="s">
        <v>210</v>
      </c>
      <c r="J828" s="34">
        <v>45217</v>
      </c>
      <c r="K828" s="19">
        <v>0.85</v>
      </c>
      <c r="L828" s="20">
        <f t="shared" si="69"/>
        <v>682</v>
      </c>
      <c r="M828" s="4">
        <f>IF(Table3[[#This Row],[Afrondingsdatum YB]]="N/A","-",Table3[[#This Row],[Afrondingsdatum YB]]-Table3[[#This Row],[StartDatum]])</f>
        <v>44</v>
      </c>
      <c r="N828" s="4"/>
      <c r="O828">
        <f t="shared" si="70"/>
        <v>109</v>
      </c>
      <c r="P828">
        <f t="shared" si="74"/>
        <v>97</v>
      </c>
      <c r="Q828">
        <f t="shared" si="74"/>
        <v>114</v>
      </c>
      <c r="R828">
        <f t="shared" si="74"/>
        <v>119</v>
      </c>
      <c r="S828">
        <f t="shared" si="74"/>
        <v>97</v>
      </c>
      <c r="T828">
        <f t="shared" si="74"/>
        <v>46</v>
      </c>
      <c r="U828">
        <f t="shared" si="74"/>
        <v>100</v>
      </c>
      <c r="V828">
        <f t="shared" si="74"/>
        <v>97</v>
      </c>
      <c r="W828" s="5">
        <f t="shared" si="72"/>
        <v>869</v>
      </c>
      <c r="X828" s="9" t="str">
        <f t="shared" si="73"/>
        <v>a869</v>
      </c>
    </row>
    <row r="829" spans="1:24" x14ac:dyDescent="0.2">
      <c r="A829" s="9" t="s">
        <v>425</v>
      </c>
      <c r="B829" s="9">
        <v>1</v>
      </c>
      <c r="C829" s="22">
        <v>13</v>
      </c>
      <c r="D829" s="12">
        <v>45173</v>
      </c>
      <c r="E829" s="23">
        <v>45257</v>
      </c>
      <c r="F829" s="23" t="s">
        <v>362</v>
      </c>
      <c r="G829" s="25" t="s">
        <v>245</v>
      </c>
      <c r="H829" s="24">
        <v>0.88</v>
      </c>
      <c r="I829" s="25" t="s">
        <v>274</v>
      </c>
      <c r="J829" s="25" t="s">
        <v>7</v>
      </c>
      <c r="K829" s="25" t="s">
        <v>9</v>
      </c>
      <c r="L829" s="25">
        <f t="shared" si="69"/>
        <v>692</v>
      </c>
      <c r="M829" s="4" t="str">
        <f>IF(Table3[[#This Row],[Afrondingsdatum YB]]="N/A","-",Table3[[#This Row],[Afrondingsdatum YB]]-Table3[[#This Row],[StartDatum]])</f>
        <v>-</v>
      </c>
      <c r="N829" s="4"/>
      <c r="O829">
        <f t="shared" si="70"/>
        <v>109</v>
      </c>
      <c r="P829">
        <f t="shared" si="74"/>
        <v>97</v>
      </c>
      <c r="Q829">
        <f t="shared" si="74"/>
        <v>114</v>
      </c>
      <c r="R829">
        <f t="shared" si="74"/>
        <v>119</v>
      </c>
      <c r="S829">
        <f t="shared" si="74"/>
        <v>97</v>
      </c>
      <c r="T829">
        <f t="shared" si="74"/>
        <v>110</v>
      </c>
      <c r="U829">
        <f t="shared" si="74"/>
        <v>46</v>
      </c>
      <c r="V829">
        <f t="shared" si="74"/>
        <v>97</v>
      </c>
      <c r="W829" s="5">
        <f t="shared" si="72"/>
        <v>879</v>
      </c>
      <c r="X829" s="9" t="str">
        <f t="shared" si="73"/>
        <v>a879</v>
      </c>
    </row>
    <row r="830" spans="1:24" x14ac:dyDescent="0.2">
      <c r="A830" s="9" t="s">
        <v>425</v>
      </c>
      <c r="B830" s="9">
        <v>1</v>
      </c>
      <c r="C830" s="22">
        <v>13</v>
      </c>
      <c r="D830" s="12">
        <v>45173</v>
      </c>
      <c r="E830" s="18">
        <v>45257</v>
      </c>
      <c r="F830" s="18" t="s">
        <v>364</v>
      </c>
      <c r="G830" s="20" t="s">
        <v>47</v>
      </c>
      <c r="H830" s="19">
        <v>1</v>
      </c>
      <c r="I830" s="20" t="s">
        <v>273</v>
      </c>
      <c r="J830" s="34">
        <v>45248</v>
      </c>
      <c r="K830" s="19">
        <v>0.78</v>
      </c>
      <c r="L830" s="20">
        <f t="shared" si="69"/>
        <v>673</v>
      </c>
      <c r="M830" s="4">
        <f>IF(Table3[[#This Row],[Afrondingsdatum YB]]="N/A","-",Table3[[#This Row],[Afrondingsdatum YB]]-Table3[[#This Row],[StartDatum]])</f>
        <v>75</v>
      </c>
      <c r="N830" s="4"/>
      <c r="O830">
        <f t="shared" si="70"/>
        <v>109</v>
      </c>
      <c r="P830">
        <f t="shared" si="74"/>
        <v>101</v>
      </c>
      <c r="Q830">
        <f t="shared" si="74"/>
        <v>101</v>
      </c>
      <c r="R830">
        <f t="shared" si="74"/>
        <v>115</v>
      </c>
      <c r="S830">
        <f t="shared" si="74"/>
        <v>46</v>
      </c>
      <c r="T830">
        <f t="shared" si="74"/>
        <v>100</v>
      </c>
      <c r="U830">
        <f t="shared" si="74"/>
        <v>101</v>
      </c>
      <c r="V830">
        <f t="shared" si="74"/>
        <v>46</v>
      </c>
      <c r="W830" s="5">
        <f t="shared" si="72"/>
        <v>784</v>
      </c>
      <c r="X830" s="9" t="str">
        <f t="shared" si="73"/>
        <v>e784</v>
      </c>
    </row>
    <row r="831" spans="1:24" x14ac:dyDescent="0.2">
      <c r="A831" s="9" t="s">
        <v>425</v>
      </c>
      <c r="B831" s="9">
        <v>1</v>
      </c>
      <c r="C831" s="22">
        <v>13</v>
      </c>
      <c r="D831" s="12">
        <v>45173</v>
      </c>
      <c r="E831" s="23">
        <v>45257</v>
      </c>
      <c r="F831" s="23" t="s">
        <v>363</v>
      </c>
      <c r="G831" s="25" t="s">
        <v>48</v>
      </c>
      <c r="H831" s="24">
        <v>1</v>
      </c>
      <c r="I831" s="25" t="s">
        <v>189</v>
      </c>
      <c r="J831" s="32">
        <v>45226</v>
      </c>
      <c r="K831" s="24">
        <v>0.8</v>
      </c>
      <c r="L831" s="25">
        <f t="shared" si="69"/>
        <v>675</v>
      </c>
      <c r="M831" s="4">
        <f>IF(Table3[[#This Row],[Afrondingsdatum YB]]="N/A","-",Table3[[#This Row],[Afrondingsdatum YB]]-Table3[[#This Row],[StartDatum]])</f>
        <v>53</v>
      </c>
      <c r="N831" s="4"/>
      <c r="O831">
        <f t="shared" si="70"/>
        <v>109</v>
      </c>
      <c r="P831">
        <f t="shared" si="74"/>
        <v>105</v>
      </c>
      <c r="Q831">
        <f t="shared" si="74"/>
        <v>108</v>
      </c>
      <c r="R831">
        <f t="shared" si="74"/>
        <v>97</v>
      </c>
      <c r="S831">
        <f t="shared" si="74"/>
        <v>110</v>
      </c>
      <c r="T831">
        <f t="shared" si="74"/>
        <v>46</v>
      </c>
      <c r="U831">
        <f t="shared" si="74"/>
        <v>100</v>
      </c>
      <c r="V831">
        <f t="shared" si="74"/>
        <v>105</v>
      </c>
      <c r="W831" s="5">
        <f t="shared" si="72"/>
        <v>871</v>
      </c>
      <c r="X831" s="9" t="str">
        <f t="shared" si="73"/>
        <v>i871</v>
      </c>
    </row>
    <row r="832" spans="1:24" x14ac:dyDescent="0.2">
      <c r="A832" s="9" t="s">
        <v>425</v>
      </c>
      <c r="B832" s="9">
        <v>1</v>
      </c>
      <c r="C832" s="22">
        <v>13</v>
      </c>
      <c r="D832" s="12">
        <v>45173</v>
      </c>
      <c r="E832" s="18">
        <v>45257</v>
      </c>
      <c r="F832" s="18" t="s">
        <v>364</v>
      </c>
      <c r="G832" s="20" t="s">
        <v>49</v>
      </c>
      <c r="H832" s="19">
        <v>1</v>
      </c>
      <c r="I832" s="20" t="s">
        <v>211</v>
      </c>
      <c r="J832" s="34">
        <v>45217</v>
      </c>
      <c r="K832" s="19">
        <v>0.73</v>
      </c>
      <c r="L832" s="20">
        <f t="shared" si="69"/>
        <v>690</v>
      </c>
      <c r="M832" s="4">
        <f>IF(Table3[[#This Row],[Afrondingsdatum YB]]="N/A","-",Table3[[#This Row],[Afrondingsdatum YB]]-Table3[[#This Row],[StartDatum]])</f>
        <v>44</v>
      </c>
      <c r="N832" s="4"/>
      <c r="O832">
        <f t="shared" si="70"/>
        <v>109</v>
      </c>
      <c r="P832">
        <f t="shared" si="74"/>
        <v>105</v>
      </c>
      <c r="Q832">
        <f t="shared" si="74"/>
        <v>114</v>
      </c>
      <c r="R832">
        <f t="shared" si="74"/>
        <v>110</v>
      </c>
      <c r="S832">
        <f t="shared" si="74"/>
        <v>97</v>
      </c>
      <c r="T832">
        <f t="shared" si="74"/>
        <v>46</v>
      </c>
      <c r="U832">
        <f t="shared" si="74"/>
        <v>109</v>
      </c>
      <c r="V832">
        <f t="shared" si="74"/>
        <v>111</v>
      </c>
      <c r="W832" s="5">
        <f t="shared" si="72"/>
        <v>894</v>
      </c>
      <c r="X832" s="9" t="str">
        <f t="shared" si="73"/>
        <v>i894</v>
      </c>
    </row>
    <row r="833" spans="1:24" x14ac:dyDescent="0.2">
      <c r="A833" s="9" t="s">
        <v>425</v>
      </c>
      <c r="B833" s="9">
        <v>1</v>
      </c>
      <c r="C833" s="22">
        <v>13</v>
      </c>
      <c r="D833" s="12">
        <v>45173</v>
      </c>
      <c r="E833" s="23">
        <v>45257</v>
      </c>
      <c r="F833" s="23" t="s">
        <v>364</v>
      </c>
      <c r="G833" s="25" t="s">
        <v>50</v>
      </c>
      <c r="H833" s="24">
        <v>1</v>
      </c>
      <c r="I833" s="25" t="s">
        <v>212</v>
      </c>
      <c r="J833" s="32">
        <v>45217</v>
      </c>
      <c r="K833" s="24">
        <v>0.75</v>
      </c>
      <c r="L833" s="25">
        <f t="shared" si="69"/>
        <v>731</v>
      </c>
      <c r="M833" s="4">
        <f>IF(Table3[[#This Row],[Afrondingsdatum YB]]="N/A","-",Table3[[#This Row],[Afrondingsdatum YB]]-Table3[[#This Row],[StartDatum]])</f>
        <v>44</v>
      </c>
      <c r="N833" s="4"/>
      <c r="O833">
        <f t="shared" si="70"/>
        <v>109</v>
      </c>
      <c r="P833">
        <f t="shared" si="74"/>
        <v>111</v>
      </c>
      <c r="Q833">
        <f t="shared" si="74"/>
        <v>104</v>
      </c>
      <c r="R833">
        <f t="shared" si="74"/>
        <v>97</v>
      </c>
      <c r="S833">
        <f t="shared" si="74"/>
        <v>109</v>
      </c>
      <c r="T833">
        <f t="shared" si="74"/>
        <v>101</v>
      </c>
      <c r="U833">
        <f t="shared" si="74"/>
        <v>100</v>
      </c>
      <c r="V833">
        <f t="shared" si="74"/>
        <v>46</v>
      </c>
      <c r="W833" s="5">
        <f t="shared" si="72"/>
        <v>857</v>
      </c>
      <c r="X833" s="9" t="str">
        <f t="shared" si="73"/>
        <v>o857</v>
      </c>
    </row>
    <row r="834" spans="1:24" x14ac:dyDescent="0.2">
      <c r="A834" s="9" t="s">
        <v>425</v>
      </c>
      <c r="B834" s="9">
        <v>1</v>
      </c>
      <c r="C834" s="22">
        <v>13</v>
      </c>
      <c r="D834" s="12">
        <v>45173</v>
      </c>
      <c r="E834" s="18">
        <v>45257</v>
      </c>
      <c r="F834" s="18" t="s">
        <v>362</v>
      </c>
      <c r="G834" s="20" t="s">
        <v>127</v>
      </c>
      <c r="H834" s="19">
        <v>0.19</v>
      </c>
      <c r="I834" s="20" t="s">
        <v>111</v>
      </c>
      <c r="J834" s="20" t="s">
        <v>7</v>
      </c>
      <c r="K834" s="20" t="s">
        <v>9</v>
      </c>
      <c r="L834" s="20">
        <f t="shared" ref="L834:L897" si="75">SUM(O834:U834)</f>
        <v>758</v>
      </c>
      <c r="M834" s="4" t="str">
        <f>IF(Table3[[#This Row],[Afrondingsdatum YB]]="N/A","-",Table3[[#This Row],[Afrondingsdatum YB]]-Table3[[#This Row],[StartDatum]])</f>
        <v>-</v>
      </c>
      <c r="N834" s="4"/>
      <c r="O834">
        <f t="shared" si="70"/>
        <v>109</v>
      </c>
      <c r="P834">
        <f t="shared" si="74"/>
        <v>111</v>
      </c>
      <c r="Q834">
        <f t="shared" si="74"/>
        <v>107</v>
      </c>
      <c r="R834">
        <f t="shared" si="74"/>
        <v>104</v>
      </c>
      <c r="S834">
        <f t="shared" si="74"/>
        <v>116</v>
      </c>
      <c r="T834">
        <f t="shared" si="74"/>
        <v>97</v>
      </c>
      <c r="U834">
        <f t="shared" si="74"/>
        <v>114</v>
      </c>
      <c r="V834">
        <f t="shared" si="74"/>
        <v>46</v>
      </c>
      <c r="W834" s="5">
        <f t="shared" si="72"/>
        <v>885</v>
      </c>
      <c r="X834" s="9" t="str">
        <f t="shared" si="73"/>
        <v>o885</v>
      </c>
    </row>
    <row r="835" spans="1:24" x14ac:dyDescent="0.2">
      <c r="A835" s="9" t="s">
        <v>425</v>
      </c>
      <c r="B835" s="9">
        <v>1</v>
      </c>
      <c r="C835" s="22">
        <v>13</v>
      </c>
      <c r="D835" s="12">
        <v>45173</v>
      </c>
      <c r="E835" s="23">
        <v>45257</v>
      </c>
      <c r="F835" s="23" t="s">
        <v>363</v>
      </c>
      <c r="G835" s="25" t="s">
        <v>51</v>
      </c>
      <c r="H835" s="24">
        <v>1</v>
      </c>
      <c r="I835" s="25" t="s">
        <v>231</v>
      </c>
      <c r="J835" s="32">
        <v>45228</v>
      </c>
      <c r="K835" s="24">
        <v>0.75</v>
      </c>
      <c r="L835" s="25">
        <f t="shared" si="75"/>
        <v>742</v>
      </c>
      <c r="M835" s="4">
        <f>IF(Table3[[#This Row],[Afrondingsdatum YB]]="N/A","-",Table3[[#This Row],[Afrondingsdatum YB]]-Table3[[#This Row],[StartDatum]])</f>
        <v>55</v>
      </c>
      <c r="N835" s="4"/>
      <c r="O835">
        <f t="shared" ref="O835:V898" si="76">CODE(MID($G835,O$1,1))</f>
        <v>110</v>
      </c>
      <c r="P835">
        <f t="shared" si="74"/>
        <v>97</v>
      </c>
      <c r="Q835">
        <f t="shared" si="74"/>
        <v>111</v>
      </c>
      <c r="R835">
        <f t="shared" si="74"/>
        <v>117</v>
      </c>
      <c r="S835">
        <f t="shared" si="74"/>
        <v>102</v>
      </c>
      <c r="T835">
        <f t="shared" si="74"/>
        <v>97</v>
      </c>
      <c r="U835">
        <f t="shared" si="74"/>
        <v>108</v>
      </c>
      <c r="V835">
        <f t="shared" si="74"/>
        <v>46</v>
      </c>
      <c r="W835" s="5">
        <f t="shared" si="72"/>
        <v>874</v>
      </c>
      <c r="X835" s="9" t="str">
        <f t="shared" si="73"/>
        <v>a874</v>
      </c>
    </row>
    <row r="836" spans="1:24" x14ac:dyDescent="0.2">
      <c r="A836" s="9" t="s">
        <v>425</v>
      </c>
      <c r="B836" s="9">
        <v>1</v>
      </c>
      <c r="C836" s="22">
        <v>13</v>
      </c>
      <c r="D836" s="12">
        <v>45173</v>
      </c>
      <c r="E836" s="18">
        <v>45257</v>
      </c>
      <c r="F836" s="18" t="s">
        <v>362</v>
      </c>
      <c r="G836" s="20" t="s">
        <v>52</v>
      </c>
      <c r="H836" s="19">
        <v>1</v>
      </c>
      <c r="I836" s="20" t="s">
        <v>145</v>
      </c>
      <c r="J836" s="34">
        <v>45238</v>
      </c>
      <c r="K836" s="19">
        <v>0.8</v>
      </c>
      <c r="L836" s="20">
        <f t="shared" si="75"/>
        <v>684</v>
      </c>
      <c r="M836" s="4">
        <f>IF(Table3[[#This Row],[Afrondingsdatum YB]]="N/A","-",Table3[[#This Row],[Afrondingsdatum YB]]-Table3[[#This Row],[StartDatum]])</f>
        <v>65</v>
      </c>
      <c r="N836" s="4"/>
      <c r="O836">
        <f t="shared" si="76"/>
        <v>110</v>
      </c>
      <c r="P836">
        <f t="shared" si="74"/>
        <v>105</v>
      </c>
      <c r="Q836">
        <f t="shared" si="74"/>
        <v>99</v>
      </c>
      <c r="R836">
        <f t="shared" si="74"/>
        <v>107</v>
      </c>
      <c r="S836">
        <f t="shared" si="74"/>
        <v>46</v>
      </c>
      <c r="T836">
        <f t="shared" si="74"/>
        <v>106</v>
      </c>
      <c r="U836">
        <f t="shared" si="74"/>
        <v>111</v>
      </c>
      <c r="V836">
        <f t="shared" si="74"/>
        <v>111</v>
      </c>
      <c r="W836" s="5">
        <f t="shared" si="72"/>
        <v>860</v>
      </c>
      <c r="X836" s="9" t="str">
        <f t="shared" si="73"/>
        <v>i860</v>
      </c>
    </row>
    <row r="837" spans="1:24" x14ac:dyDescent="0.2">
      <c r="A837" s="9" t="s">
        <v>425</v>
      </c>
      <c r="B837" s="9">
        <v>1</v>
      </c>
      <c r="C837" s="22">
        <v>13</v>
      </c>
      <c r="D837" s="12">
        <v>45173</v>
      </c>
      <c r="E837" s="23">
        <v>45257</v>
      </c>
      <c r="F837" s="23" t="s">
        <v>364</v>
      </c>
      <c r="G837" s="25" t="s">
        <v>53</v>
      </c>
      <c r="H837" s="24">
        <v>1</v>
      </c>
      <c r="I837" s="25" t="s">
        <v>194</v>
      </c>
      <c r="J837" s="32">
        <v>45234</v>
      </c>
      <c r="K837" s="24">
        <v>0.78</v>
      </c>
      <c r="L837" s="25">
        <f t="shared" si="75"/>
        <v>737</v>
      </c>
      <c r="M837" s="4">
        <f>IF(Table3[[#This Row],[Afrondingsdatum YB]]="N/A","-",Table3[[#This Row],[Afrondingsdatum YB]]-Table3[[#This Row],[StartDatum]])</f>
        <v>61</v>
      </c>
      <c r="N837" s="4"/>
      <c r="O837">
        <f t="shared" si="76"/>
        <v>110</v>
      </c>
      <c r="P837">
        <f t="shared" si="74"/>
        <v>105</v>
      </c>
      <c r="Q837">
        <f t="shared" si="74"/>
        <v>99</v>
      </c>
      <c r="R837">
        <f t="shared" si="74"/>
        <v>107</v>
      </c>
      <c r="S837">
        <f t="shared" si="74"/>
        <v>111</v>
      </c>
      <c r="T837">
        <f t="shared" si="74"/>
        <v>108</v>
      </c>
      <c r="U837">
        <f t="shared" si="74"/>
        <v>97</v>
      </c>
      <c r="V837">
        <f t="shared" si="74"/>
        <v>115</v>
      </c>
      <c r="W837" s="5">
        <f t="shared" si="72"/>
        <v>917</v>
      </c>
      <c r="X837" s="9" t="str">
        <f t="shared" si="73"/>
        <v>i917</v>
      </c>
    </row>
    <row r="838" spans="1:24" x14ac:dyDescent="0.2">
      <c r="A838" s="9" t="s">
        <v>425</v>
      </c>
      <c r="B838" s="9">
        <v>1</v>
      </c>
      <c r="C838" s="22">
        <v>13</v>
      </c>
      <c r="D838" s="12">
        <v>45173</v>
      </c>
      <c r="E838" s="18">
        <v>45257</v>
      </c>
      <c r="F838" s="18" t="s">
        <v>364</v>
      </c>
      <c r="G838" s="20" t="s">
        <v>54</v>
      </c>
      <c r="H838" s="19">
        <v>1</v>
      </c>
      <c r="I838" s="20" t="s">
        <v>265</v>
      </c>
      <c r="J838" s="34">
        <v>45242</v>
      </c>
      <c r="K838" s="19">
        <v>0.73</v>
      </c>
      <c r="L838" s="20">
        <f t="shared" si="75"/>
        <v>705</v>
      </c>
      <c r="M838" s="4">
        <f>IF(Table3[[#This Row],[Afrondingsdatum YB]]="N/A","-",Table3[[#This Row],[Afrondingsdatum YB]]-Table3[[#This Row],[StartDatum]])</f>
        <v>69</v>
      </c>
      <c r="N838" s="4"/>
      <c r="O838">
        <f t="shared" si="76"/>
        <v>110</v>
      </c>
      <c r="P838">
        <f t="shared" si="74"/>
        <v>105</v>
      </c>
      <c r="Q838">
        <f t="shared" si="74"/>
        <v>115</v>
      </c>
      <c r="R838">
        <f t="shared" si="74"/>
        <v>114</v>
      </c>
      <c r="S838">
        <f t="shared" si="74"/>
        <v>105</v>
      </c>
      <c r="T838">
        <f t="shared" si="74"/>
        <v>110</v>
      </c>
      <c r="U838">
        <f t="shared" si="74"/>
        <v>46</v>
      </c>
      <c r="V838">
        <f t="shared" si="74"/>
        <v>104</v>
      </c>
      <c r="W838" s="5">
        <f t="shared" si="72"/>
        <v>901</v>
      </c>
      <c r="X838" s="9" t="str">
        <f t="shared" si="73"/>
        <v>i901</v>
      </c>
    </row>
    <row r="839" spans="1:24" x14ac:dyDescent="0.2">
      <c r="A839" s="9" t="s">
        <v>425</v>
      </c>
      <c r="B839" s="9">
        <v>1</v>
      </c>
      <c r="C839" s="22">
        <v>13</v>
      </c>
      <c r="D839" s="12">
        <v>45173</v>
      </c>
      <c r="E839" s="23">
        <v>45257</v>
      </c>
      <c r="F839" s="23" t="s">
        <v>364</v>
      </c>
      <c r="G839" s="25" t="s">
        <v>55</v>
      </c>
      <c r="H839" s="24">
        <v>1</v>
      </c>
      <c r="I839" s="25" t="s">
        <v>214</v>
      </c>
      <c r="J839" s="32">
        <v>45217</v>
      </c>
      <c r="K839" s="24">
        <v>0.95</v>
      </c>
      <c r="L839" s="25">
        <f t="shared" si="75"/>
        <v>681</v>
      </c>
      <c r="M839" s="4">
        <f>IF(Table3[[#This Row],[Afrondingsdatum YB]]="N/A","-",Table3[[#This Row],[Afrondingsdatum YB]]-Table3[[#This Row],[StartDatum]])</f>
        <v>44</v>
      </c>
      <c r="N839" s="4"/>
      <c r="O839">
        <f t="shared" si="76"/>
        <v>110</v>
      </c>
      <c r="P839">
        <f t="shared" si="74"/>
        <v>111</v>
      </c>
      <c r="Q839">
        <f t="shared" si="74"/>
        <v>101</v>
      </c>
      <c r="R839">
        <f t="shared" si="74"/>
        <v>108</v>
      </c>
      <c r="S839">
        <f t="shared" si="74"/>
        <v>108</v>
      </c>
      <c r="T839">
        <f t="shared" si="74"/>
        <v>97</v>
      </c>
      <c r="U839">
        <f t="shared" si="74"/>
        <v>46</v>
      </c>
      <c r="V839">
        <f t="shared" si="74"/>
        <v>108</v>
      </c>
      <c r="W839" s="5">
        <f t="shared" si="72"/>
        <v>855</v>
      </c>
      <c r="X839" s="9" t="str">
        <f t="shared" si="73"/>
        <v>o855</v>
      </c>
    </row>
    <row r="840" spans="1:24" x14ac:dyDescent="0.2">
      <c r="A840" s="9" t="s">
        <v>425</v>
      </c>
      <c r="B840" s="9">
        <v>1</v>
      </c>
      <c r="C840" s="22">
        <v>13</v>
      </c>
      <c r="D840" s="12">
        <v>45173</v>
      </c>
      <c r="E840" s="18">
        <v>45257</v>
      </c>
      <c r="F840" s="18" t="s">
        <v>363</v>
      </c>
      <c r="G840" s="20" t="s">
        <v>56</v>
      </c>
      <c r="H840" s="19">
        <v>1</v>
      </c>
      <c r="I840" s="20" t="s">
        <v>232</v>
      </c>
      <c r="J840" s="34">
        <v>45228</v>
      </c>
      <c r="K840" s="19">
        <v>0.83</v>
      </c>
      <c r="L840" s="20">
        <f t="shared" si="75"/>
        <v>708</v>
      </c>
      <c r="M840" s="4">
        <f>IF(Table3[[#This Row],[Afrondingsdatum YB]]="N/A","-",Table3[[#This Row],[Afrondingsdatum YB]]-Table3[[#This Row],[StartDatum]])</f>
        <v>55</v>
      </c>
      <c r="N840" s="4"/>
      <c r="O840">
        <f t="shared" si="76"/>
        <v>110</v>
      </c>
      <c r="P840">
        <f t="shared" si="74"/>
        <v>117</v>
      </c>
      <c r="Q840">
        <f t="shared" si="74"/>
        <v>112</v>
      </c>
      <c r="R840">
        <f t="shared" si="74"/>
        <v>101</v>
      </c>
      <c r="S840">
        <f t="shared" si="74"/>
        <v>108</v>
      </c>
      <c r="T840">
        <f t="shared" si="74"/>
        <v>46</v>
      </c>
      <c r="U840">
        <f t="shared" si="74"/>
        <v>114</v>
      </c>
      <c r="V840">
        <f t="shared" si="74"/>
        <v>117</v>
      </c>
      <c r="W840" s="5">
        <f t="shared" si="72"/>
        <v>915</v>
      </c>
      <c r="X840" s="9" t="str">
        <f t="shared" si="73"/>
        <v>u915</v>
      </c>
    </row>
    <row r="841" spans="1:24" x14ac:dyDescent="0.2">
      <c r="A841" s="9" t="s">
        <v>425</v>
      </c>
      <c r="B841" s="9">
        <v>1</v>
      </c>
      <c r="C841" s="22">
        <v>13</v>
      </c>
      <c r="D841" s="12">
        <v>45173</v>
      </c>
      <c r="E841" s="23">
        <v>45257</v>
      </c>
      <c r="F841" s="23" t="s">
        <v>364</v>
      </c>
      <c r="G841" s="25" t="s">
        <v>57</v>
      </c>
      <c r="H841" s="24">
        <v>1</v>
      </c>
      <c r="I841" s="25" t="s">
        <v>233</v>
      </c>
      <c r="J841" s="32">
        <v>45228</v>
      </c>
      <c r="K841" s="24">
        <v>0.73</v>
      </c>
      <c r="L841" s="25">
        <f t="shared" si="75"/>
        <v>762</v>
      </c>
      <c r="M841" s="4">
        <f>IF(Table3[[#This Row],[Afrondingsdatum YB]]="N/A","-",Table3[[#This Row],[Afrondingsdatum YB]]-Table3[[#This Row],[StartDatum]])</f>
        <v>55</v>
      </c>
      <c r="N841" s="4"/>
      <c r="O841">
        <f t="shared" si="76"/>
        <v>111</v>
      </c>
      <c r="P841">
        <f t="shared" si="74"/>
        <v>108</v>
      </c>
      <c r="Q841">
        <f t="shared" si="74"/>
        <v>105</v>
      </c>
      <c r="R841">
        <f t="shared" si="74"/>
        <v>118</v>
      </c>
      <c r="S841">
        <f t="shared" si="74"/>
        <v>105</v>
      </c>
      <c r="T841">
        <f t="shared" si="74"/>
        <v>101</v>
      </c>
      <c r="U841">
        <f t="shared" si="74"/>
        <v>114</v>
      </c>
      <c r="V841">
        <f t="shared" si="74"/>
        <v>46</v>
      </c>
      <c r="W841" s="5">
        <f t="shared" si="72"/>
        <v>876</v>
      </c>
      <c r="X841" s="9" t="str">
        <f t="shared" si="73"/>
        <v>l876</v>
      </c>
    </row>
    <row r="842" spans="1:24" x14ac:dyDescent="0.2">
      <c r="A842" s="9" t="s">
        <v>425</v>
      </c>
      <c r="B842" s="9">
        <v>1</v>
      </c>
      <c r="C842" s="22">
        <v>13</v>
      </c>
      <c r="D842" s="12">
        <v>45173</v>
      </c>
      <c r="E842" s="18">
        <v>45257</v>
      </c>
      <c r="F842" s="18" t="s">
        <v>362</v>
      </c>
      <c r="G842" s="20" t="s">
        <v>58</v>
      </c>
      <c r="H842" s="19">
        <v>1</v>
      </c>
      <c r="I842" s="20" t="s">
        <v>266</v>
      </c>
      <c r="J842" s="34">
        <v>45237</v>
      </c>
      <c r="K842" s="19">
        <v>0.9</v>
      </c>
      <c r="L842" s="20">
        <f t="shared" si="75"/>
        <v>681</v>
      </c>
      <c r="M842" s="4">
        <f>IF(Table3[[#This Row],[Afrondingsdatum YB]]="N/A","-",Table3[[#This Row],[Afrondingsdatum YB]]-Table3[[#This Row],[StartDatum]])</f>
        <v>64</v>
      </c>
      <c r="N842" s="4"/>
      <c r="O842">
        <f t="shared" si="76"/>
        <v>112</v>
      </c>
      <c r="P842">
        <f t="shared" si="74"/>
        <v>97</v>
      </c>
      <c r="Q842">
        <f t="shared" si="74"/>
        <v>117</v>
      </c>
      <c r="R842">
        <f t="shared" si="74"/>
        <v>108</v>
      </c>
      <c r="S842">
        <f t="shared" si="74"/>
        <v>46</v>
      </c>
      <c r="T842">
        <f t="shared" si="74"/>
        <v>100</v>
      </c>
      <c r="U842">
        <f t="shared" si="74"/>
        <v>101</v>
      </c>
      <c r="V842">
        <f t="shared" si="74"/>
        <v>46</v>
      </c>
      <c r="W842" s="5">
        <f t="shared" si="72"/>
        <v>832</v>
      </c>
      <c r="X842" s="9" t="str">
        <f t="shared" si="73"/>
        <v>a832</v>
      </c>
    </row>
    <row r="843" spans="1:24" x14ac:dyDescent="0.2">
      <c r="A843" s="9" t="s">
        <v>425</v>
      </c>
      <c r="B843" s="9">
        <v>1</v>
      </c>
      <c r="C843" s="22">
        <v>13</v>
      </c>
      <c r="D843" s="12">
        <v>45173</v>
      </c>
      <c r="E843" s="23">
        <v>45257</v>
      </c>
      <c r="F843" s="23" t="s">
        <v>364</v>
      </c>
      <c r="G843" s="25" t="s">
        <v>59</v>
      </c>
      <c r="H843" s="24">
        <v>1</v>
      </c>
      <c r="I843" s="25" t="s">
        <v>148</v>
      </c>
      <c r="J843" s="32">
        <v>45236</v>
      </c>
      <c r="K843" s="24">
        <v>0.78</v>
      </c>
      <c r="L843" s="25">
        <f t="shared" si="75"/>
        <v>695</v>
      </c>
      <c r="M843" s="4">
        <f>IF(Table3[[#This Row],[Afrondingsdatum YB]]="N/A","-",Table3[[#This Row],[Afrondingsdatum YB]]-Table3[[#This Row],[StartDatum]])</f>
        <v>63</v>
      </c>
      <c r="N843" s="4"/>
      <c r="O843">
        <f t="shared" si="76"/>
        <v>112</v>
      </c>
      <c r="P843">
        <f t="shared" si="74"/>
        <v>105</v>
      </c>
      <c r="Q843">
        <f t="shared" si="74"/>
        <v>101</v>
      </c>
      <c r="R843">
        <f t="shared" si="74"/>
        <v>116</v>
      </c>
      <c r="S843">
        <f t="shared" si="74"/>
        <v>101</v>
      </c>
      <c r="T843">
        <f t="shared" si="74"/>
        <v>114</v>
      </c>
      <c r="U843">
        <f t="shared" si="74"/>
        <v>46</v>
      </c>
      <c r="V843">
        <f t="shared" si="74"/>
        <v>109</v>
      </c>
      <c r="W843" s="5">
        <f t="shared" si="72"/>
        <v>867</v>
      </c>
      <c r="X843" s="9" t="str">
        <f t="shared" si="73"/>
        <v>i867</v>
      </c>
    </row>
    <row r="844" spans="1:24" x14ac:dyDescent="0.2">
      <c r="A844" s="9" t="s">
        <v>425</v>
      </c>
      <c r="B844" s="9">
        <v>1</v>
      </c>
      <c r="C844" s="22">
        <v>13</v>
      </c>
      <c r="D844" s="12">
        <v>45173</v>
      </c>
      <c r="E844" s="18">
        <v>45257</v>
      </c>
      <c r="F844" s="18" t="s">
        <v>362</v>
      </c>
      <c r="G844" s="20" t="s">
        <v>60</v>
      </c>
      <c r="H844" s="19">
        <v>1</v>
      </c>
      <c r="I844" s="20" t="s">
        <v>72</v>
      </c>
      <c r="J844" s="34">
        <v>45222</v>
      </c>
      <c r="K844" s="19">
        <v>0.8</v>
      </c>
      <c r="L844" s="20">
        <f t="shared" si="75"/>
        <v>703</v>
      </c>
      <c r="M844" s="4">
        <f>IF(Table3[[#This Row],[Afrondingsdatum YB]]="N/A","-",Table3[[#This Row],[Afrondingsdatum YB]]-Table3[[#This Row],[StartDatum]])</f>
        <v>49</v>
      </c>
      <c r="N844" s="4"/>
      <c r="O844">
        <f t="shared" si="76"/>
        <v>114</v>
      </c>
      <c r="P844">
        <f t="shared" si="74"/>
        <v>101</v>
      </c>
      <c r="Q844">
        <f t="shared" si="74"/>
        <v>110</v>
      </c>
      <c r="R844">
        <f t="shared" si="74"/>
        <v>115</v>
      </c>
      <c r="S844">
        <f t="shared" si="74"/>
        <v>46</v>
      </c>
      <c r="T844">
        <f t="shared" si="74"/>
        <v>103</v>
      </c>
      <c r="U844">
        <f t="shared" si="74"/>
        <v>114</v>
      </c>
      <c r="V844">
        <f t="shared" si="74"/>
        <v>111</v>
      </c>
      <c r="W844" s="5">
        <f t="shared" si="72"/>
        <v>897</v>
      </c>
      <c r="X844" s="9" t="str">
        <f t="shared" si="73"/>
        <v>e897</v>
      </c>
    </row>
    <row r="845" spans="1:24" x14ac:dyDescent="0.2">
      <c r="A845" s="9" t="s">
        <v>425</v>
      </c>
      <c r="B845" s="9">
        <v>1</v>
      </c>
      <c r="C845" s="22">
        <v>13</v>
      </c>
      <c r="D845" s="12">
        <v>45173</v>
      </c>
      <c r="E845" s="23">
        <v>45257</v>
      </c>
      <c r="F845" s="23" t="s">
        <v>363</v>
      </c>
      <c r="G845" s="25" t="s">
        <v>61</v>
      </c>
      <c r="H845" s="24">
        <v>1</v>
      </c>
      <c r="I845" s="25" t="s">
        <v>86</v>
      </c>
      <c r="J845" s="32">
        <v>45228</v>
      </c>
      <c r="K845" s="24">
        <v>0.75</v>
      </c>
      <c r="L845" s="25">
        <f t="shared" si="75"/>
        <v>697</v>
      </c>
      <c r="M845" s="4">
        <f>IF(Table3[[#This Row],[Afrondingsdatum YB]]="N/A","-",Table3[[#This Row],[Afrondingsdatum YB]]-Table3[[#This Row],[StartDatum]])</f>
        <v>55</v>
      </c>
      <c r="N845" s="4"/>
      <c r="O845">
        <f t="shared" si="76"/>
        <v>114</v>
      </c>
      <c r="P845">
        <f t="shared" si="74"/>
        <v>111</v>
      </c>
      <c r="Q845">
        <f t="shared" si="74"/>
        <v>119</v>
      </c>
      <c r="R845">
        <f t="shared" si="74"/>
        <v>97</v>
      </c>
      <c r="S845">
        <f t="shared" si="74"/>
        <v>110</v>
      </c>
      <c r="T845">
        <f t="shared" si="74"/>
        <v>46</v>
      </c>
      <c r="U845">
        <f t="shared" si="74"/>
        <v>100</v>
      </c>
      <c r="V845">
        <f t="shared" si="74"/>
        <v>101</v>
      </c>
      <c r="W845" s="5">
        <f t="shared" si="72"/>
        <v>908</v>
      </c>
      <c r="X845" s="9" t="str">
        <f t="shared" si="73"/>
        <v>o908</v>
      </c>
    </row>
    <row r="846" spans="1:24" x14ac:dyDescent="0.2">
      <c r="A846" s="9" t="s">
        <v>425</v>
      </c>
      <c r="B846" s="9">
        <v>1</v>
      </c>
      <c r="C846" s="22">
        <v>13</v>
      </c>
      <c r="D846" s="12">
        <v>45173</v>
      </c>
      <c r="E846" s="18">
        <v>45257</v>
      </c>
      <c r="F846" s="18" t="s">
        <v>363</v>
      </c>
      <c r="G846" s="20" t="s">
        <v>84</v>
      </c>
      <c r="H846" s="19">
        <v>1</v>
      </c>
      <c r="I846" s="20" t="s">
        <v>176</v>
      </c>
      <c r="J846" s="34">
        <v>45231</v>
      </c>
      <c r="K846" s="19">
        <v>0.83</v>
      </c>
      <c r="L846" s="20">
        <f t="shared" si="75"/>
        <v>683</v>
      </c>
      <c r="M846" s="4">
        <f>IF(Table3[[#This Row],[Afrondingsdatum YB]]="N/A","-",Table3[[#This Row],[Afrondingsdatum YB]]-Table3[[#This Row],[StartDatum]])</f>
        <v>58</v>
      </c>
      <c r="N846" s="4"/>
      <c r="O846">
        <f t="shared" si="76"/>
        <v>115</v>
      </c>
      <c r="P846">
        <f t="shared" si="74"/>
        <v>97</v>
      </c>
      <c r="Q846">
        <f t="shared" si="74"/>
        <v>110</v>
      </c>
      <c r="R846">
        <f t="shared" si="74"/>
        <v>100</v>
      </c>
      <c r="S846">
        <f t="shared" si="74"/>
        <v>101</v>
      </c>
      <c r="T846">
        <f t="shared" si="74"/>
        <v>114</v>
      </c>
      <c r="U846">
        <f t="shared" si="74"/>
        <v>46</v>
      </c>
      <c r="V846">
        <f t="shared" si="74"/>
        <v>98</v>
      </c>
      <c r="W846" s="5">
        <f t="shared" si="72"/>
        <v>878</v>
      </c>
      <c r="X846" s="9" t="str">
        <f t="shared" si="73"/>
        <v>a878</v>
      </c>
    </row>
    <row r="847" spans="1:24" x14ac:dyDescent="0.2">
      <c r="A847" s="9" t="s">
        <v>425</v>
      </c>
      <c r="B847" s="9">
        <v>1</v>
      </c>
      <c r="C847" s="22">
        <v>13</v>
      </c>
      <c r="D847" s="12">
        <v>45173</v>
      </c>
      <c r="E847" s="23">
        <v>45257</v>
      </c>
      <c r="F847" s="23" t="s">
        <v>363</v>
      </c>
      <c r="G847" s="25" t="s">
        <v>62</v>
      </c>
      <c r="H847" s="24">
        <v>1</v>
      </c>
      <c r="I847" s="25" t="s">
        <v>162</v>
      </c>
      <c r="J847" s="32">
        <v>45202</v>
      </c>
      <c r="K847" s="24">
        <v>0.75</v>
      </c>
      <c r="L847" s="25">
        <f t="shared" si="75"/>
        <v>670</v>
      </c>
      <c r="M847" s="4">
        <f>IF(Table3[[#This Row],[Afrondingsdatum YB]]="N/A","-",Table3[[#This Row],[Afrondingsdatum YB]]-Table3[[#This Row],[StartDatum]])</f>
        <v>29</v>
      </c>
      <c r="N847" s="4"/>
      <c r="O847">
        <f t="shared" si="76"/>
        <v>115</v>
      </c>
      <c r="P847">
        <f t="shared" si="74"/>
        <v>97</v>
      </c>
      <c r="Q847">
        <f t="shared" si="74"/>
        <v>114</v>
      </c>
      <c r="R847">
        <f t="shared" si="74"/>
        <v>97</v>
      </c>
      <c r="S847">
        <f t="shared" si="74"/>
        <v>46</v>
      </c>
      <c r="T847">
        <f t="shared" si="74"/>
        <v>100</v>
      </c>
      <c r="U847">
        <f t="shared" si="74"/>
        <v>101</v>
      </c>
      <c r="V847">
        <f t="shared" si="74"/>
        <v>46</v>
      </c>
      <c r="W847" s="5">
        <f t="shared" si="72"/>
        <v>823</v>
      </c>
      <c r="X847" s="9" t="str">
        <f t="shared" si="73"/>
        <v>a823</v>
      </c>
    </row>
    <row r="848" spans="1:24" x14ac:dyDescent="0.2">
      <c r="A848" s="9" t="s">
        <v>425</v>
      </c>
      <c r="B848" s="9">
        <v>1</v>
      </c>
      <c r="C848" s="22">
        <v>13</v>
      </c>
      <c r="D848" s="12">
        <v>45173</v>
      </c>
      <c r="E848" s="18">
        <v>45257</v>
      </c>
      <c r="F848" s="18" t="s">
        <v>362</v>
      </c>
      <c r="G848" s="20" t="s">
        <v>131</v>
      </c>
      <c r="H848" s="19">
        <v>1</v>
      </c>
      <c r="I848" s="20" t="s">
        <v>249</v>
      </c>
      <c r="J848" s="34">
        <v>45239</v>
      </c>
      <c r="K848" s="19">
        <v>0.9</v>
      </c>
      <c r="L848" s="20">
        <f t="shared" si="75"/>
        <v>675</v>
      </c>
      <c r="M848" s="4">
        <f>IF(Table3[[#This Row],[Afrondingsdatum YB]]="N/A","-",Table3[[#This Row],[Afrondingsdatum YB]]-Table3[[#This Row],[StartDatum]])</f>
        <v>66</v>
      </c>
      <c r="N848" s="4"/>
      <c r="O848">
        <f t="shared" si="76"/>
        <v>115</v>
      </c>
      <c r="P848">
        <f t="shared" si="74"/>
        <v>97</v>
      </c>
      <c r="Q848">
        <f t="shared" si="74"/>
        <v>114</v>
      </c>
      <c r="R848">
        <f t="shared" si="74"/>
        <v>97</v>
      </c>
      <c r="S848">
        <f t="shared" si="74"/>
        <v>104</v>
      </c>
      <c r="T848">
        <f t="shared" si="74"/>
        <v>46</v>
      </c>
      <c r="U848">
        <f t="shared" si="74"/>
        <v>102</v>
      </c>
      <c r="V848">
        <f t="shared" si="74"/>
        <v>97</v>
      </c>
      <c r="W848" s="5">
        <f t="shared" si="72"/>
        <v>879</v>
      </c>
      <c r="X848" s="9" t="str">
        <f t="shared" si="73"/>
        <v>a879</v>
      </c>
    </row>
    <row r="849" spans="1:24" x14ac:dyDescent="0.2">
      <c r="A849" s="9" t="s">
        <v>425</v>
      </c>
      <c r="B849" s="9">
        <v>1</v>
      </c>
      <c r="C849" s="22">
        <v>13</v>
      </c>
      <c r="D849" s="12">
        <v>45173</v>
      </c>
      <c r="E849" s="23">
        <v>45257</v>
      </c>
      <c r="F849" s="23" t="s">
        <v>364</v>
      </c>
      <c r="G849" s="25" t="s">
        <v>108</v>
      </c>
      <c r="H849" s="24">
        <v>1</v>
      </c>
      <c r="I849" s="25" t="s">
        <v>267</v>
      </c>
      <c r="J849" s="32">
        <v>45236</v>
      </c>
      <c r="K849" s="24">
        <v>0.88</v>
      </c>
      <c r="L849" s="25">
        <f t="shared" si="75"/>
        <v>760</v>
      </c>
      <c r="M849" s="4">
        <f>IF(Table3[[#This Row],[Afrondingsdatum YB]]="N/A","-",Table3[[#This Row],[Afrondingsdatum YB]]-Table3[[#This Row],[StartDatum]])</f>
        <v>63</v>
      </c>
      <c r="N849" s="4"/>
      <c r="O849">
        <f t="shared" si="76"/>
        <v>115</v>
      </c>
      <c r="P849">
        <f t="shared" si="74"/>
        <v>97</v>
      </c>
      <c r="Q849">
        <f t="shared" si="74"/>
        <v>118</v>
      </c>
      <c r="R849">
        <f t="shared" si="74"/>
        <v>101</v>
      </c>
      <c r="S849">
        <f t="shared" si="74"/>
        <v>114</v>
      </c>
      <c r="T849">
        <f t="shared" si="74"/>
        <v>105</v>
      </c>
      <c r="U849">
        <f t="shared" si="74"/>
        <v>110</v>
      </c>
      <c r="V849">
        <f t="shared" si="74"/>
        <v>105</v>
      </c>
      <c r="W849" s="5">
        <f t="shared" si="72"/>
        <v>977</v>
      </c>
      <c r="X849" s="9" t="str">
        <f t="shared" si="73"/>
        <v>a977</v>
      </c>
    </row>
    <row r="850" spans="1:24" x14ac:dyDescent="0.2">
      <c r="A850" s="9" t="s">
        <v>425</v>
      </c>
      <c r="B850" s="9">
        <v>1</v>
      </c>
      <c r="C850" s="22">
        <v>13</v>
      </c>
      <c r="D850" s="12">
        <v>45173</v>
      </c>
      <c r="E850" s="18">
        <v>45257</v>
      </c>
      <c r="F850" s="18" t="s">
        <v>364</v>
      </c>
      <c r="G850" s="20" t="s">
        <v>109</v>
      </c>
      <c r="H850" s="19">
        <v>0.99</v>
      </c>
      <c r="I850" s="20" t="s">
        <v>268</v>
      </c>
      <c r="J850" s="20" t="s">
        <v>7</v>
      </c>
      <c r="K850" s="20" t="s">
        <v>9</v>
      </c>
      <c r="L850" s="20">
        <f t="shared" si="75"/>
        <v>696</v>
      </c>
      <c r="M850" s="4" t="str">
        <f>IF(Table3[[#This Row],[Afrondingsdatum YB]]="N/A","-",Table3[[#This Row],[Afrondingsdatum YB]]-Table3[[#This Row],[StartDatum]])</f>
        <v>-</v>
      </c>
      <c r="N850" s="4"/>
      <c r="O850">
        <f t="shared" si="76"/>
        <v>115</v>
      </c>
      <c r="P850">
        <f t="shared" si="74"/>
        <v>101</v>
      </c>
      <c r="Q850">
        <f t="shared" si="74"/>
        <v>109</v>
      </c>
      <c r="R850">
        <f t="shared" si="74"/>
        <v>46</v>
      </c>
      <c r="S850">
        <f t="shared" si="74"/>
        <v>118</v>
      </c>
      <c r="T850">
        <f t="shared" si="74"/>
        <v>97</v>
      </c>
      <c r="U850">
        <f t="shared" si="74"/>
        <v>110</v>
      </c>
      <c r="V850">
        <f t="shared" si="74"/>
        <v>46</v>
      </c>
      <c r="W850" s="5">
        <f t="shared" si="72"/>
        <v>875</v>
      </c>
      <c r="X850" s="9" t="str">
        <f t="shared" si="73"/>
        <v>e875</v>
      </c>
    </row>
    <row r="851" spans="1:24" x14ac:dyDescent="0.2">
      <c r="A851" s="9" t="s">
        <v>425</v>
      </c>
      <c r="B851" s="9">
        <v>1</v>
      </c>
      <c r="C851" s="22">
        <v>13</v>
      </c>
      <c r="D851" s="12">
        <v>45173</v>
      </c>
      <c r="E851" s="23">
        <v>45257</v>
      </c>
      <c r="F851" s="23" t="s">
        <v>362</v>
      </c>
      <c r="G851" s="25" t="s">
        <v>63</v>
      </c>
      <c r="H851" s="24">
        <v>1</v>
      </c>
      <c r="I851" s="25" t="s">
        <v>126</v>
      </c>
      <c r="J851" s="25" t="s">
        <v>7</v>
      </c>
      <c r="K851" s="25" t="s">
        <v>9</v>
      </c>
      <c r="L851" s="25">
        <f t="shared" si="75"/>
        <v>673</v>
      </c>
      <c r="M851" s="4" t="str">
        <f>IF(Table3[[#This Row],[Afrondingsdatum YB]]="N/A","-",Table3[[#This Row],[Afrondingsdatum YB]]-Table3[[#This Row],[StartDatum]])</f>
        <v>-</v>
      </c>
      <c r="N851" s="4"/>
      <c r="O851">
        <f t="shared" si="76"/>
        <v>83</v>
      </c>
      <c r="P851">
        <f t="shared" si="74"/>
        <v>121</v>
      </c>
      <c r="Q851">
        <f t="shared" si="74"/>
        <v>98</v>
      </c>
      <c r="R851">
        <f t="shared" si="74"/>
        <v>114</v>
      </c>
      <c r="S851">
        <f t="shared" si="74"/>
        <v>101</v>
      </c>
      <c r="T851">
        <f t="shared" si="74"/>
        <v>110</v>
      </c>
      <c r="U851">
        <f t="shared" si="74"/>
        <v>46</v>
      </c>
      <c r="V851">
        <f t="shared" si="74"/>
        <v>104</v>
      </c>
      <c r="W851" s="5">
        <f t="shared" si="72"/>
        <v>827</v>
      </c>
      <c r="X851" s="9" t="str">
        <f t="shared" si="73"/>
        <v>y827</v>
      </c>
    </row>
    <row r="852" spans="1:24" x14ac:dyDescent="0.2">
      <c r="A852" s="9" t="s">
        <v>425</v>
      </c>
      <c r="B852" s="9">
        <v>1</v>
      </c>
      <c r="C852" s="22">
        <v>13</v>
      </c>
      <c r="D852" s="12">
        <v>45173</v>
      </c>
      <c r="E852" s="18">
        <v>45257</v>
      </c>
      <c r="F852" s="18" t="s">
        <v>363</v>
      </c>
      <c r="G852" s="20" t="s">
        <v>64</v>
      </c>
      <c r="H852" s="19">
        <v>1</v>
      </c>
      <c r="I852" s="20" t="s">
        <v>159</v>
      </c>
      <c r="J852" s="34">
        <v>45226</v>
      </c>
      <c r="K852" s="19">
        <v>0.75</v>
      </c>
      <c r="L852" s="20">
        <f t="shared" si="75"/>
        <v>709</v>
      </c>
      <c r="M852" s="4">
        <f>IF(Table3[[#This Row],[Afrondingsdatum YB]]="N/A","-",Table3[[#This Row],[Afrondingsdatum YB]]-Table3[[#This Row],[StartDatum]])</f>
        <v>53</v>
      </c>
      <c r="N852" s="4"/>
      <c r="O852">
        <f t="shared" si="76"/>
        <v>116</v>
      </c>
      <c r="P852">
        <f t="shared" si="74"/>
        <v>101</v>
      </c>
      <c r="Q852">
        <f t="shared" si="74"/>
        <v>117</v>
      </c>
      <c r="R852">
        <f t="shared" si="74"/>
        <v>110</v>
      </c>
      <c r="S852">
        <f t="shared" si="74"/>
        <v>46</v>
      </c>
      <c r="T852">
        <f t="shared" ref="P852:V888" si="77">CODE(MID($G852,T$1,1))</f>
        <v>114</v>
      </c>
      <c r="U852">
        <f t="shared" si="77"/>
        <v>105</v>
      </c>
      <c r="V852">
        <f t="shared" si="77"/>
        <v>110</v>
      </c>
      <c r="W852" s="5">
        <f t="shared" si="72"/>
        <v>920</v>
      </c>
      <c r="X852" s="9" t="str">
        <f t="shared" si="73"/>
        <v>e920</v>
      </c>
    </row>
    <row r="853" spans="1:24" x14ac:dyDescent="0.2">
      <c r="A853" s="9" t="s">
        <v>425</v>
      </c>
      <c r="B853" s="9">
        <v>1</v>
      </c>
      <c r="C853" s="22">
        <v>13</v>
      </c>
      <c r="D853" s="12">
        <v>45173</v>
      </c>
      <c r="E853" s="23">
        <v>45257</v>
      </c>
      <c r="F853" s="23" t="s">
        <v>362</v>
      </c>
      <c r="G853" s="25" t="s">
        <v>132</v>
      </c>
      <c r="H853" s="24">
        <v>1</v>
      </c>
      <c r="I853" s="25" t="s">
        <v>186</v>
      </c>
      <c r="J853" s="32">
        <v>45246</v>
      </c>
      <c r="K853" s="24">
        <v>0.83</v>
      </c>
      <c r="L853" s="25">
        <f t="shared" si="75"/>
        <v>697</v>
      </c>
      <c r="M853" s="4">
        <f>IF(Table3[[#This Row],[Afrondingsdatum YB]]="N/A","-",Table3[[#This Row],[Afrondingsdatum YB]]-Table3[[#This Row],[StartDatum]])</f>
        <v>73</v>
      </c>
      <c r="N853" s="4"/>
      <c r="O853">
        <f t="shared" si="76"/>
        <v>116</v>
      </c>
      <c r="P853">
        <f t="shared" si="77"/>
        <v>104</v>
      </c>
      <c r="Q853">
        <f t="shared" si="77"/>
        <v>105</v>
      </c>
      <c r="R853">
        <f t="shared" si="77"/>
        <v>114</v>
      </c>
      <c r="S853">
        <f t="shared" si="77"/>
        <v>115</v>
      </c>
      <c r="T853">
        <f t="shared" si="77"/>
        <v>97</v>
      </c>
      <c r="U853">
        <f t="shared" si="77"/>
        <v>46</v>
      </c>
      <c r="V853">
        <f t="shared" si="77"/>
        <v>108</v>
      </c>
      <c r="W853" s="5">
        <f t="shared" si="72"/>
        <v>878</v>
      </c>
      <c r="X853" s="9" t="str">
        <f t="shared" si="73"/>
        <v>h878</v>
      </c>
    </row>
    <row r="854" spans="1:24" x14ac:dyDescent="0.2">
      <c r="A854" s="9" t="s">
        <v>425</v>
      </c>
      <c r="B854" s="9">
        <v>1</v>
      </c>
      <c r="C854" s="22">
        <v>13</v>
      </c>
      <c r="D854" s="12">
        <v>45173</v>
      </c>
      <c r="E854" s="18">
        <v>45257</v>
      </c>
      <c r="F854" s="18" t="s">
        <v>364</v>
      </c>
      <c r="G854" s="20" t="s">
        <v>133</v>
      </c>
      <c r="H854" s="19">
        <v>1</v>
      </c>
      <c r="I854" s="20" t="s">
        <v>271</v>
      </c>
      <c r="J854" s="34">
        <v>45238</v>
      </c>
      <c r="K854" s="19">
        <v>0.83</v>
      </c>
      <c r="L854" s="20">
        <f t="shared" si="75"/>
        <v>713</v>
      </c>
      <c r="M854" s="4">
        <f>IF(Table3[[#This Row],[Afrondingsdatum YB]]="N/A","-",Table3[[#This Row],[Afrondingsdatum YB]]-Table3[[#This Row],[StartDatum]])</f>
        <v>65</v>
      </c>
      <c r="N854" s="4"/>
      <c r="O854">
        <f t="shared" si="76"/>
        <v>116</v>
      </c>
      <c r="P854">
        <f t="shared" si="77"/>
        <v>121</v>
      </c>
      <c r="Q854">
        <f t="shared" si="77"/>
        <v>108</v>
      </c>
      <c r="R854">
        <f t="shared" si="77"/>
        <v>101</v>
      </c>
      <c r="S854">
        <f t="shared" si="77"/>
        <v>114</v>
      </c>
      <c r="T854">
        <f t="shared" si="77"/>
        <v>46</v>
      </c>
      <c r="U854">
        <f t="shared" si="77"/>
        <v>107</v>
      </c>
      <c r="V854">
        <f t="shared" si="77"/>
        <v>111</v>
      </c>
      <c r="W854" s="5">
        <f t="shared" si="72"/>
        <v>904</v>
      </c>
      <c r="X854" s="9" t="str">
        <f t="shared" si="73"/>
        <v>y904</v>
      </c>
    </row>
    <row r="855" spans="1:24" x14ac:dyDescent="0.2">
      <c r="A855" s="9" t="s">
        <v>425</v>
      </c>
      <c r="B855" s="9">
        <v>1</v>
      </c>
      <c r="C855" s="22">
        <v>13</v>
      </c>
      <c r="D855" s="12">
        <v>45173</v>
      </c>
      <c r="E855" s="23">
        <v>45257</v>
      </c>
      <c r="F855" s="23" t="s">
        <v>364</v>
      </c>
      <c r="G855" s="25" t="s">
        <v>65</v>
      </c>
      <c r="H855" s="24">
        <v>1</v>
      </c>
      <c r="I855" s="25" t="s">
        <v>144</v>
      </c>
      <c r="J855" s="32">
        <v>45231</v>
      </c>
      <c r="K855" s="24">
        <v>0.93</v>
      </c>
      <c r="L855" s="25">
        <f t="shared" si="75"/>
        <v>711</v>
      </c>
      <c r="M855" s="4">
        <f>IF(Table3[[#This Row],[Afrondingsdatum YB]]="N/A","-",Table3[[#This Row],[Afrondingsdatum YB]]-Table3[[#This Row],[StartDatum]])</f>
        <v>58</v>
      </c>
      <c r="N855" s="4"/>
      <c r="O855">
        <f t="shared" si="76"/>
        <v>119</v>
      </c>
      <c r="P855">
        <f t="shared" si="77"/>
        <v>101</v>
      </c>
      <c r="Q855">
        <f t="shared" si="77"/>
        <v>115</v>
      </c>
      <c r="R855">
        <f t="shared" si="77"/>
        <v>108</v>
      </c>
      <c r="S855">
        <f t="shared" si="77"/>
        <v>101</v>
      </c>
      <c r="T855">
        <f t="shared" si="77"/>
        <v>121</v>
      </c>
      <c r="U855">
        <f t="shared" si="77"/>
        <v>46</v>
      </c>
      <c r="V855">
        <f t="shared" si="77"/>
        <v>99</v>
      </c>
      <c r="W855" s="5">
        <f t="shared" si="72"/>
        <v>909</v>
      </c>
      <c r="X855" s="9" t="str">
        <f t="shared" si="73"/>
        <v>e909</v>
      </c>
    </row>
    <row r="856" spans="1:24" x14ac:dyDescent="0.2">
      <c r="A856" s="9" t="s">
        <v>425</v>
      </c>
      <c r="B856" s="9">
        <v>1</v>
      </c>
      <c r="C856" s="22">
        <v>13</v>
      </c>
      <c r="D856" s="12">
        <v>45173</v>
      </c>
      <c r="E856" s="18">
        <v>45257</v>
      </c>
      <c r="F856" s="18" t="s">
        <v>364</v>
      </c>
      <c r="G856" s="20" t="s">
        <v>66</v>
      </c>
      <c r="H856" s="19">
        <v>1</v>
      </c>
      <c r="I856" s="20" t="s">
        <v>202</v>
      </c>
      <c r="J856" s="34">
        <v>45249</v>
      </c>
      <c r="K856" s="19">
        <v>0.8</v>
      </c>
      <c r="L856" s="20">
        <f t="shared" si="75"/>
        <v>697</v>
      </c>
      <c r="M856" s="4">
        <f>IF(Table3[[#This Row],[Afrondingsdatum YB]]="N/A","-",Table3[[#This Row],[Afrondingsdatum YB]]-Table3[[#This Row],[StartDatum]])</f>
        <v>76</v>
      </c>
      <c r="N856" s="4"/>
      <c r="O856">
        <f t="shared" si="76"/>
        <v>121</v>
      </c>
      <c r="P856">
        <f t="shared" si="77"/>
        <v>97</v>
      </c>
      <c r="Q856">
        <f t="shared" si="77"/>
        <v>115</v>
      </c>
      <c r="R856">
        <f t="shared" si="77"/>
        <v>105</v>
      </c>
      <c r="S856">
        <f t="shared" si="77"/>
        <v>110</v>
      </c>
      <c r="T856">
        <f t="shared" si="77"/>
        <v>46</v>
      </c>
      <c r="U856">
        <f t="shared" si="77"/>
        <v>103</v>
      </c>
      <c r="V856">
        <f t="shared" si="77"/>
        <v>111</v>
      </c>
      <c r="W856" s="5">
        <f t="shared" si="72"/>
        <v>911</v>
      </c>
      <c r="X856" s="9" t="str">
        <f t="shared" si="73"/>
        <v>a911</v>
      </c>
    </row>
    <row r="857" spans="1:24" x14ac:dyDescent="0.2">
      <c r="A857" s="9" t="s">
        <v>425</v>
      </c>
      <c r="B857" s="9">
        <v>1</v>
      </c>
      <c r="C857" s="22">
        <v>13</v>
      </c>
      <c r="D857" s="12">
        <v>45173</v>
      </c>
      <c r="E857" s="23">
        <v>45257</v>
      </c>
      <c r="F857" s="23" t="s">
        <v>364</v>
      </c>
      <c r="G857" s="25" t="s">
        <v>67</v>
      </c>
      <c r="H857" s="24">
        <v>1</v>
      </c>
      <c r="I857" s="25" t="s">
        <v>153</v>
      </c>
      <c r="J857" s="32">
        <v>45217</v>
      </c>
      <c r="K857" s="24">
        <v>0.73</v>
      </c>
      <c r="L857" s="25">
        <f t="shared" si="75"/>
        <v>764</v>
      </c>
      <c r="M857" s="4">
        <f>IF(Table3[[#This Row],[Afrondingsdatum YB]]="N/A","-",Table3[[#This Row],[Afrondingsdatum YB]]-Table3[[#This Row],[StartDatum]])</f>
        <v>44</v>
      </c>
      <c r="N857" s="4"/>
      <c r="O857">
        <f t="shared" si="76"/>
        <v>121</v>
      </c>
      <c r="P857">
        <f t="shared" si="77"/>
        <v>97</v>
      </c>
      <c r="Q857">
        <f t="shared" si="77"/>
        <v>115</v>
      </c>
      <c r="R857">
        <f t="shared" si="77"/>
        <v>115</v>
      </c>
      <c r="S857">
        <f t="shared" si="77"/>
        <v>105</v>
      </c>
      <c r="T857">
        <f t="shared" si="77"/>
        <v>110</v>
      </c>
      <c r="U857">
        <f t="shared" si="77"/>
        <v>101</v>
      </c>
      <c r="V857">
        <f t="shared" si="77"/>
        <v>46</v>
      </c>
      <c r="W857" s="5">
        <f t="shared" si="72"/>
        <v>905</v>
      </c>
      <c r="X857" s="9" t="str">
        <f t="shared" si="73"/>
        <v>a905</v>
      </c>
    </row>
    <row r="858" spans="1:24" x14ac:dyDescent="0.2">
      <c r="A858" s="9" t="s">
        <v>425</v>
      </c>
      <c r="B858" s="9">
        <v>1</v>
      </c>
      <c r="C858" s="22">
        <v>13</v>
      </c>
      <c r="D858" s="12">
        <v>45173</v>
      </c>
      <c r="E858" s="18">
        <v>45257</v>
      </c>
      <c r="F858" s="18" t="s">
        <v>363</v>
      </c>
      <c r="G858" s="20" t="s">
        <v>68</v>
      </c>
      <c r="H858" s="19">
        <v>1</v>
      </c>
      <c r="I858" s="20" t="s">
        <v>253</v>
      </c>
      <c r="J858" s="34">
        <v>45229</v>
      </c>
      <c r="K858" s="19">
        <v>0.75</v>
      </c>
      <c r="L858" s="20">
        <f t="shared" si="75"/>
        <v>721</v>
      </c>
      <c r="M858" s="4">
        <f>IF(Table3[[#This Row],[Afrondingsdatum YB]]="N/A","-",Table3[[#This Row],[Afrondingsdatum YB]]-Table3[[#This Row],[StartDatum]])</f>
        <v>56</v>
      </c>
      <c r="N858" s="4"/>
      <c r="O858">
        <f t="shared" si="76"/>
        <v>121</v>
      </c>
      <c r="P858">
        <f t="shared" si="77"/>
        <v>111</v>
      </c>
      <c r="Q858">
        <f t="shared" si="77"/>
        <v>117</v>
      </c>
      <c r="R858">
        <f t="shared" si="77"/>
        <v>114</v>
      </c>
      <c r="S858">
        <f t="shared" si="77"/>
        <v>105</v>
      </c>
      <c r="T858">
        <f t="shared" si="77"/>
        <v>46</v>
      </c>
      <c r="U858">
        <f t="shared" si="77"/>
        <v>107</v>
      </c>
      <c r="V858">
        <f t="shared" si="77"/>
        <v>101</v>
      </c>
      <c r="W858" s="5">
        <f t="shared" si="72"/>
        <v>915</v>
      </c>
      <c r="X858" s="9" t="str">
        <f t="shared" si="73"/>
        <v>o915</v>
      </c>
    </row>
    <row r="859" spans="1:24" x14ac:dyDescent="0.2">
      <c r="A859" s="9" t="s">
        <v>425</v>
      </c>
      <c r="B859" s="9">
        <v>1</v>
      </c>
      <c r="C859" s="22">
        <v>14</v>
      </c>
      <c r="D859" s="25"/>
      <c r="E859" s="23">
        <v>45264</v>
      </c>
      <c r="F859" s="23" t="s">
        <v>363</v>
      </c>
      <c r="G859" s="25" t="s">
        <v>10</v>
      </c>
      <c r="H859" s="24">
        <v>1</v>
      </c>
      <c r="I859" s="25" t="s">
        <v>110</v>
      </c>
      <c r="J859" s="32">
        <v>45197</v>
      </c>
      <c r="K859" s="24">
        <v>0.98</v>
      </c>
      <c r="L859" s="25">
        <f t="shared" si="75"/>
        <v>662</v>
      </c>
      <c r="M859" s="4">
        <f>IF(Table3[[#This Row],[Afrondingsdatum YB]]="N/A","-",Table3[[#This Row],[Afrondingsdatum YB]]-Table3[[#This Row],[StartDatum]])</f>
        <v>45197</v>
      </c>
      <c r="N859" s="4"/>
      <c r="O859">
        <f t="shared" si="76"/>
        <v>97</v>
      </c>
      <c r="P859">
        <f t="shared" si="77"/>
        <v>100</v>
      </c>
      <c r="Q859">
        <f t="shared" si="77"/>
        <v>97</v>
      </c>
      <c r="R859">
        <f t="shared" si="77"/>
        <v>109</v>
      </c>
      <c r="S859">
        <f t="shared" si="77"/>
        <v>46</v>
      </c>
      <c r="T859">
        <f t="shared" si="77"/>
        <v>97</v>
      </c>
      <c r="U859">
        <f t="shared" si="77"/>
        <v>116</v>
      </c>
      <c r="V859">
        <f t="shared" si="77"/>
        <v>116</v>
      </c>
      <c r="W859" s="5">
        <f t="shared" si="72"/>
        <v>840</v>
      </c>
      <c r="X859" s="9" t="str">
        <f t="shared" si="73"/>
        <v>d840</v>
      </c>
    </row>
    <row r="860" spans="1:24" x14ac:dyDescent="0.2">
      <c r="A860" s="9" t="s">
        <v>425</v>
      </c>
      <c r="B860" s="9">
        <v>1</v>
      </c>
      <c r="C860" s="22">
        <v>14</v>
      </c>
      <c r="D860" s="25"/>
      <c r="E860" s="23">
        <v>45264</v>
      </c>
      <c r="F860" s="18" t="s">
        <v>362</v>
      </c>
      <c r="G860" s="20" t="s">
        <v>11</v>
      </c>
      <c r="H860" s="19">
        <v>0.03</v>
      </c>
      <c r="I860" s="20" t="s">
        <v>111</v>
      </c>
      <c r="J860" s="20" t="s">
        <v>7</v>
      </c>
      <c r="K860" s="20" t="s">
        <v>9</v>
      </c>
      <c r="L860" s="20">
        <f t="shared" si="75"/>
        <v>641</v>
      </c>
      <c r="M860" s="4" t="str">
        <f>IF(Table3[[#This Row],[Afrondingsdatum YB]]="N/A","-",Table3[[#This Row],[Afrondingsdatum YB]]-Table3[[#This Row],[StartDatum]])</f>
        <v>-</v>
      </c>
      <c r="N860" s="4"/>
      <c r="O860">
        <f t="shared" si="76"/>
        <v>65</v>
      </c>
      <c r="P860">
        <f t="shared" si="77"/>
        <v>100</v>
      </c>
      <c r="Q860">
        <f t="shared" si="77"/>
        <v>105</v>
      </c>
      <c r="R860">
        <f t="shared" si="77"/>
        <v>108</v>
      </c>
      <c r="S860">
        <f t="shared" si="77"/>
        <v>46</v>
      </c>
      <c r="T860">
        <f t="shared" si="77"/>
        <v>106</v>
      </c>
      <c r="U860">
        <f t="shared" si="77"/>
        <v>111</v>
      </c>
      <c r="V860">
        <f t="shared" si="77"/>
        <v>117</v>
      </c>
      <c r="W860" s="5">
        <f t="shared" si="72"/>
        <v>837</v>
      </c>
      <c r="X860" s="9" t="str">
        <f t="shared" si="73"/>
        <v>d837</v>
      </c>
    </row>
    <row r="861" spans="1:24" x14ac:dyDescent="0.2">
      <c r="A861" s="9" t="s">
        <v>425</v>
      </c>
      <c r="B861" s="9">
        <v>1</v>
      </c>
      <c r="C861" s="22">
        <v>14</v>
      </c>
      <c r="D861" s="25"/>
      <c r="E861" s="23">
        <v>45264</v>
      </c>
      <c r="F861" s="23" t="s">
        <v>364</v>
      </c>
      <c r="G861" s="25" t="s">
        <v>12</v>
      </c>
      <c r="H861" s="24">
        <v>1</v>
      </c>
      <c r="I861" s="25" t="s">
        <v>140</v>
      </c>
      <c r="J861" s="32">
        <v>45219</v>
      </c>
      <c r="K861" s="24">
        <v>0.73</v>
      </c>
      <c r="L861" s="25">
        <f t="shared" si="75"/>
        <v>677</v>
      </c>
      <c r="M861" s="4">
        <f>IF(Table3[[#This Row],[Afrondingsdatum YB]]="N/A","-",Table3[[#This Row],[Afrondingsdatum YB]]-Table3[[#This Row],[StartDatum]])</f>
        <v>45219</v>
      </c>
      <c r="N861" s="4"/>
      <c r="O861">
        <f t="shared" si="76"/>
        <v>97</v>
      </c>
      <c r="P861">
        <f t="shared" si="77"/>
        <v>103</v>
      </c>
      <c r="Q861">
        <f t="shared" si="77"/>
        <v>104</v>
      </c>
      <c r="R861">
        <f t="shared" si="77"/>
        <v>105</v>
      </c>
      <c r="S861">
        <f t="shared" si="77"/>
        <v>108</v>
      </c>
      <c r="T861">
        <f t="shared" si="77"/>
        <v>46</v>
      </c>
      <c r="U861">
        <f t="shared" si="77"/>
        <v>114</v>
      </c>
      <c r="V861">
        <f t="shared" si="77"/>
        <v>101</v>
      </c>
      <c r="W861" s="5">
        <f t="shared" si="72"/>
        <v>856</v>
      </c>
      <c r="X861" s="9" t="str">
        <f t="shared" si="73"/>
        <v>g856</v>
      </c>
    </row>
    <row r="862" spans="1:24" x14ac:dyDescent="0.2">
      <c r="A862" s="9" t="s">
        <v>425</v>
      </c>
      <c r="B862" s="9">
        <v>1</v>
      </c>
      <c r="C862" s="22">
        <v>14</v>
      </c>
      <c r="D862" s="25"/>
      <c r="E862" s="23">
        <v>45264</v>
      </c>
      <c r="F862" s="18" t="s">
        <v>362</v>
      </c>
      <c r="G862" s="20" t="s">
        <v>113</v>
      </c>
      <c r="H862" s="19">
        <v>0.97</v>
      </c>
      <c r="I862" s="20" t="s">
        <v>275</v>
      </c>
      <c r="J862" s="20" t="s">
        <v>7</v>
      </c>
      <c r="K862" s="20" t="s">
        <v>9</v>
      </c>
      <c r="L862" s="20">
        <f t="shared" si="75"/>
        <v>670</v>
      </c>
      <c r="M862" s="4" t="str">
        <f>IF(Table3[[#This Row],[Afrondingsdatum YB]]="N/A","-",Table3[[#This Row],[Afrondingsdatum YB]]-Table3[[#This Row],[StartDatum]])</f>
        <v>-</v>
      </c>
      <c r="N862" s="4"/>
      <c r="O862">
        <f t="shared" si="76"/>
        <v>97</v>
      </c>
      <c r="P862">
        <f t="shared" si="77"/>
        <v>109</v>
      </c>
      <c r="Q862">
        <f t="shared" si="77"/>
        <v>105</v>
      </c>
      <c r="R862">
        <f t="shared" si="77"/>
        <v>110</v>
      </c>
      <c r="S862">
        <f t="shared" si="77"/>
        <v>46</v>
      </c>
      <c r="T862">
        <f t="shared" si="77"/>
        <v>99</v>
      </c>
      <c r="U862">
        <f t="shared" si="77"/>
        <v>104</v>
      </c>
      <c r="V862">
        <f t="shared" si="77"/>
        <v>101</v>
      </c>
      <c r="W862" s="5">
        <f t="shared" si="72"/>
        <v>844</v>
      </c>
      <c r="X862" s="9" t="str">
        <f t="shared" si="73"/>
        <v>m844</v>
      </c>
    </row>
    <row r="863" spans="1:24" x14ac:dyDescent="0.2">
      <c r="A863" s="9" t="s">
        <v>425</v>
      </c>
      <c r="B863" s="9">
        <v>1</v>
      </c>
      <c r="C863" s="22">
        <v>14</v>
      </c>
      <c r="D863" s="25"/>
      <c r="E863" s="23">
        <v>45264</v>
      </c>
      <c r="F863" s="23" t="s">
        <v>364</v>
      </c>
      <c r="G863" s="25" t="s">
        <v>13</v>
      </c>
      <c r="H863" s="24">
        <v>1</v>
      </c>
      <c r="I863" s="25" t="s">
        <v>97</v>
      </c>
      <c r="J863" s="25" t="s">
        <v>7</v>
      </c>
      <c r="K863" s="24">
        <v>0.55000000000000004</v>
      </c>
      <c r="L863" s="25">
        <f t="shared" si="75"/>
        <v>669</v>
      </c>
      <c r="M863" s="4" t="str">
        <f>IF(Table3[[#This Row],[Afrondingsdatum YB]]="N/A","-",Table3[[#This Row],[Afrondingsdatum YB]]-Table3[[#This Row],[StartDatum]])</f>
        <v>-</v>
      </c>
      <c r="N863" s="4"/>
      <c r="O863">
        <f t="shared" si="76"/>
        <v>97</v>
      </c>
      <c r="P863">
        <f t="shared" si="77"/>
        <v>109</v>
      </c>
      <c r="Q863">
        <f t="shared" si="77"/>
        <v>105</v>
      </c>
      <c r="R863">
        <f t="shared" si="77"/>
        <v>110</v>
      </c>
      <c r="S863">
        <f t="shared" si="77"/>
        <v>101</v>
      </c>
      <c r="T863">
        <f t="shared" si="77"/>
        <v>46</v>
      </c>
      <c r="U863">
        <f t="shared" si="77"/>
        <v>101</v>
      </c>
      <c r="V863">
        <f t="shared" si="77"/>
        <v>108</v>
      </c>
      <c r="W863" s="5">
        <f t="shared" si="72"/>
        <v>850</v>
      </c>
      <c r="X863" s="9" t="str">
        <f t="shared" si="73"/>
        <v>m850</v>
      </c>
    </row>
    <row r="864" spans="1:24" x14ac:dyDescent="0.2">
      <c r="A864" s="9" t="s">
        <v>425</v>
      </c>
      <c r="B864" s="9">
        <v>1</v>
      </c>
      <c r="C864" s="22">
        <v>14</v>
      </c>
      <c r="D864" s="25"/>
      <c r="E864" s="23">
        <v>45264</v>
      </c>
      <c r="F864" s="18" t="s">
        <v>363</v>
      </c>
      <c r="G864" s="20" t="s">
        <v>14</v>
      </c>
      <c r="H864" s="19">
        <v>0.68</v>
      </c>
      <c r="I864" s="20" t="s">
        <v>166</v>
      </c>
      <c r="J864" s="20" t="s">
        <v>7</v>
      </c>
      <c r="K864" s="20" t="s">
        <v>9</v>
      </c>
      <c r="L864" s="20">
        <f t="shared" si="75"/>
        <v>676</v>
      </c>
      <c r="M864" s="4" t="str">
        <f>IF(Table3[[#This Row],[Afrondingsdatum YB]]="N/A","-",Table3[[#This Row],[Afrondingsdatum YB]]-Table3[[#This Row],[StartDatum]])</f>
        <v>-</v>
      </c>
      <c r="N864" s="4"/>
      <c r="O864">
        <f t="shared" si="76"/>
        <v>97</v>
      </c>
      <c r="P864">
        <f t="shared" si="77"/>
        <v>110</v>
      </c>
      <c r="Q864">
        <f t="shared" si="77"/>
        <v>103</v>
      </c>
      <c r="R864">
        <f t="shared" si="77"/>
        <v>101</v>
      </c>
      <c r="S864">
        <f t="shared" si="77"/>
        <v>108</v>
      </c>
      <c r="T864">
        <f t="shared" si="77"/>
        <v>111</v>
      </c>
      <c r="U864">
        <f t="shared" si="77"/>
        <v>46</v>
      </c>
      <c r="V864">
        <f t="shared" si="77"/>
        <v>115</v>
      </c>
      <c r="W864" s="5">
        <f t="shared" si="72"/>
        <v>866</v>
      </c>
      <c r="X864" s="9" t="str">
        <f t="shared" si="73"/>
        <v>n866</v>
      </c>
    </row>
    <row r="865" spans="1:24" x14ac:dyDescent="0.2">
      <c r="A865" s="9" t="s">
        <v>425</v>
      </c>
      <c r="B865" s="9">
        <v>1</v>
      </c>
      <c r="C865" s="22">
        <v>14</v>
      </c>
      <c r="D865" s="25"/>
      <c r="E865" s="23">
        <v>45264</v>
      </c>
      <c r="F865" s="23" t="s">
        <v>362</v>
      </c>
      <c r="G865" s="25" t="s">
        <v>15</v>
      </c>
      <c r="H865" s="24">
        <v>1</v>
      </c>
      <c r="I865" s="25" t="s">
        <v>215</v>
      </c>
      <c r="J865" s="32">
        <v>45238</v>
      </c>
      <c r="K865" s="24">
        <v>0.75</v>
      </c>
      <c r="L865" s="25">
        <f t="shared" si="75"/>
        <v>755</v>
      </c>
      <c r="M865" s="4">
        <f>IF(Table3[[#This Row],[Afrondingsdatum YB]]="N/A","-",Table3[[#This Row],[Afrondingsdatum YB]]-Table3[[#This Row],[StartDatum]])</f>
        <v>45238</v>
      </c>
      <c r="N865" s="4"/>
      <c r="O865">
        <f t="shared" si="76"/>
        <v>97</v>
      </c>
      <c r="P865">
        <f t="shared" si="77"/>
        <v>115</v>
      </c>
      <c r="Q865">
        <f t="shared" si="77"/>
        <v>104</v>
      </c>
      <c r="R865">
        <f t="shared" si="77"/>
        <v>111</v>
      </c>
      <c r="S865">
        <f t="shared" si="77"/>
        <v>101</v>
      </c>
      <c r="T865">
        <f t="shared" si="77"/>
        <v>116</v>
      </c>
      <c r="U865">
        <f t="shared" si="77"/>
        <v>111</v>
      </c>
      <c r="V865">
        <f t="shared" si="77"/>
        <v>115</v>
      </c>
      <c r="W865" s="5">
        <f t="shared" si="72"/>
        <v>937</v>
      </c>
      <c r="X865" s="9" t="str">
        <f t="shared" si="73"/>
        <v>s937</v>
      </c>
    </row>
    <row r="866" spans="1:24" x14ac:dyDescent="0.2">
      <c r="A866" s="9" t="s">
        <v>425</v>
      </c>
      <c r="B866" s="9">
        <v>1</v>
      </c>
      <c r="C866" s="22">
        <v>14</v>
      </c>
      <c r="D866" s="25"/>
      <c r="E866" s="23">
        <v>45264</v>
      </c>
      <c r="F866" s="18" t="s">
        <v>364</v>
      </c>
      <c r="G866" s="20" t="s">
        <v>16</v>
      </c>
      <c r="H866" s="19">
        <v>1</v>
      </c>
      <c r="I866" s="20" t="s">
        <v>255</v>
      </c>
      <c r="J866" s="34">
        <v>45236</v>
      </c>
      <c r="K866" s="19">
        <v>0.85</v>
      </c>
      <c r="L866" s="20">
        <f t="shared" si="75"/>
        <v>672</v>
      </c>
      <c r="M866" s="4">
        <f>IF(Table3[[#This Row],[Afrondingsdatum YB]]="N/A","-",Table3[[#This Row],[Afrondingsdatum YB]]-Table3[[#This Row],[StartDatum]])</f>
        <v>45236</v>
      </c>
      <c r="N866" s="4"/>
      <c r="O866">
        <f t="shared" si="76"/>
        <v>97</v>
      </c>
      <c r="P866">
        <f t="shared" si="77"/>
        <v>121</v>
      </c>
      <c r="Q866">
        <f t="shared" si="77"/>
        <v>100</v>
      </c>
      <c r="R866">
        <f t="shared" si="77"/>
        <v>101</v>
      </c>
      <c r="S866">
        <f t="shared" si="77"/>
        <v>110</v>
      </c>
      <c r="T866">
        <f t="shared" si="77"/>
        <v>46</v>
      </c>
      <c r="U866">
        <f t="shared" si="77"/>
        <v>97</v>
      </c>
      <c r="V866">
        <f t="shared" si="77"/>
        <v>110</v>
      </c>
      <c r="W866" s="5">
        <f t="shared" si="72"/>
        <v>846</v>
      </c>
      <c r="X866" s="9" t="str">
        <f t="shared" si="73"/>
        <v>y846</v>
      </c>
    </row>
    <row r="867" spans="1:24" x14ac:dyDescent="0.2">
      <c r="A867" s="9" t="s">
        <v>425</v>
      </c>
      <c r="B867" s="9">
        <v>1</v>
      </c>
      <c r="C867" s="22">
        <v>14</v>
      </c>
      <c r="D867" s="25"/>
      <c r="E867" s="23">
        <v>45264</v>
      </c>
      <c r="F867" s="23" t="s">
        <v>362</v>
      </c>
      <c r="G867" s="25" t="s">
        <v>17</v>
      </c>
      <c r="H867" s="24">
        <v>1</v>
      </c>
      <c r="I867" s="25" t="s">
        <v>256</v>
      </c>
      <c r="J867" s="32">
        <v>45240</v>
      </c>
      <c r="K867" s="24">
        <v>0.75</v>
      </c>
      <c r="L867" s="25">
        <f t="shared" si="75"/>
        <v>707</v>
      </c>
      <c r="M867" s="4">
        <f>IF(Table3[[#This Row],[Afrondingsdatum YB]]="N/A","-",Table3[[#This Row],[Afrondingsdatum YB]]-Table3[[#This Row],[StartDatum]])</f>
        <v>45240</v>
      </c>
      <c r="N867" s="4"/>
      <c r="O867">
        <f t="shared" si="76"/>
        <v>98</v>
      </c>
      <c r="P867">
        <f t="shared" si="77"/>
        <v>101</v>
      </c>
      <c r="Q867">
        <f t="shared" si="77"/>
        <v>116</v>
      </c>
      <c r="R867">
        <f t="shared" si="77"/>
        <v>117</v>
      </c>
      <c r="S867">
        <f t="shared" si="77"/>
        <v>108</v>
      </c>
      <c r="T867">
        <f t="shared" si="77"/>
        <v>46</v>
      </c>
      <c r="U867">
        <f t="shared" si="77"/>
        <v>121</v>
      </c>
      <c r="V867">
        <f t="shared" si="77"/>
        <v>117</v>
      </c>
      <c r="W867" s="5">
        <f t="shared" si="72"/>
        <v>918</v>
      </c>
      <c r="X867" s="9" t="str">
        <f t="shared" si="73"/>
        <v>e918</v>
      </c>
    </row>
    <row r="868" spans="1:24" x14ac:dyDescent="0.2">
      <c r="A868" s="9" t="s">
        <v>425</v>
      </c>
      <c r="B868" s="9">
        <v>1</v>
      </c>
      <c r="C868" s="22">
        <v>14</v>
      </c>
      <c r="D868" s="25"/>
      <c r="E868" s="23">
        <v>45264</v>
      </c>
      <c r="F868" s="18" t="s">
        <v>364</v>
      </c>
      <c r="G868" s="20" t="s">
        <v>115</v>
      </c>
      <c r="H868" s="19">
        <v>1</v>
      </c>
      <c r="I868" s="20" t="s">
        <v>167</v>
      </c>
      <c r="J868" s="34">
        <v>45237</v>
      </c>
      <c r="K868" s="19">
        <v>0.78</v>
      </c>
      <c r="L868" s="20">
        <f t="shared" si="75"/>
        <v>748</v>
      </c>
      <c r="M868" s="4">
        <f>IF(Table3[[#This Row],[Afrondingsdatum YB]]="N/A","-",Table3[[#This Row],[Afrondingsdatum YB]]-Table3[[#This Row],[StartDatum]])</f>
        <v>45237</v>
      </c>
      <c r="N868" s="4"/>
      <c r="O868">
        <f t="shared" si="76"/>
        <v>98</v>
      </c>
      <c r="P868">
        <f t="shared" si="77"/>
        <v>106</v>
      </c>
      <c r="Q868">
        <f t="shared" si="77"/>
        <v>111</v>
      </c>
      <c r="R868">
        <f t="shared" si="77"/>
        <v>114</v>
      </c>
      <c r="S868">
        <f t="shared" si="77"/>
        <v>110</v>
      </c>
      <c r="T868">
        <f t="shared" si="77"/>
        <v>108</v>
      </c>
      <c r="U868">
        <f t="shared" si="77"/>
        <v>101</v>
      </c>
      <c r="V868">
        <f t="shared" si="77"/>
        <v>118</v>
      </c>
      <c r="W868" s="5">
        <f t="shared" si="72"/>
        <v>950</v>
      </c>
      <c r="X868" s="9" t="str">
        <f t="shared" si="73"/>
        <v>j950</v>
      </c>
    </row>
    <row r="869" spans="1:24" x14ac:dyDescent="0.2">
      <c r="A869" s="9" t="s">
        <v>425</v>
      </c>
      <c r="B869" s="9">
        <v>1</v>
      </c>
      <c r="C869" s="22">
        <v>14</v>
      </c>
      <c r="D869" s="25"/>
      <c r="E869" s="23">
        <v>45264</v>
      </c>
      <c r="F869" s="23" t="s">
        <v>363</v>
      </c>
      <c r="G869" s="25" t="s">
        <v>18</v>
      </c>
      <c r="H869" s="24">
        <v>1</v>
      </c>
      <c r="I869" s="25" t="s">
        <v>202</v>
      </c>
      <c r="J869" s="32">
        <v>45227</v>
      </c>
      <c r="K869" s="24">
        <v>0.73</v>
      </c>
      <c r="L869" s="25">
        <f t="shared" si="75"/>
        <v>687</v>
      </c>
      <c r="M869" s="4">
        <f>IF(Table3[[#This Row],[Afrondingsdatum YB]]="N/A","-",Table3[[#This Row],[Afrondingsdatum YB]]-Table3[[#This Row],[StartDatum]])</f>
        <v>45227</v>
      </c>
      <c r="N869" s="4"/>
      <c r="O869">
        <f t="shared" si="76"/>
        <v>98</v>
      </c>
      <c r="P869">
        <f t="shared" si="77"/>
        <v>114</v>
      </c>
      <c r="Q869">
        <f t="shared" si="77"/>
        <v>101</v>
      </c>
      <c r="R869">
        <f t="shared" si="77"/>
        <v>116</v>
      </c>
      <c r="S869">
        <f t="shared" si="77"/>
        <v>104</v>
      </c>
      <c r="T869">
        <f t="shared" si="77"/>
        <v>46</v>
      </c>
      <c r="U869">
        <f t="shared" si="77"/>
        <v>108</v>
      </c>
      <c r="V869">
        <f t="shared" si="77"/>
        <v>97</v>
      </c>
      <c r="W869" s="5">
        <f t="shared" si="72"/>
        <v>842</v>
      </c>
      <c r="X869" s="9" t="str">
        <f t="shared" si="73"/>
        <v>r842</v>
      </c>
    </row>
    <row r="870" spans="1:24" x14ac:dyDescent="0.2">
      <c r="A870" s="9" t="s">
        <v>425</v>
      </c>
      <c r="B870" s="9">
        <v>1</v>
      </c>
      <c r="C870" s="22">
        <v>14</v>
      </c>
      <c r="D870" s="25"/>
      <c r="E870" s="23">
        <v>45264</v>
      </c>
      <c r="F870" s="18" t="s">
        <v>364</v>
      </c>
      <c r="G870" s="20" t="s">
        <v>19</v>
      </c>
      <c r="H870" s="19">
        <v>1</v>
      </c>
      <c r="I870" s="20" t="s">
        <v>170</v>
      </c>
      <c r="J870" s="34">
        <v>45212</v>
      </c>
      <c r="K870" s="19">
        <v>0.83</v>
      </c>
      <c r="L870" s="20">
        <f t="shared" si="75"/>
        <v>733</v>
      </c>
      <c r="M870" s="4">
        <f>IF(Table3[[#This Row],[Afrondingsdatum YB]]="N/A","-",Table3[[#This Row],[Afrondingsdatum YB]]-Table3[[#This Row],[StartDatum]])</f>
        <v>45212</v>
      </c>
      <c r="N870" s="4"/>
      <c r="O870">
        <f t="shared" si="76"/>
        <v>99</v>
      </c>
      <c r="P870">
        <f t="shared" si="77"/>
        <v>104</v>
      </c>
      <c r="Q870">
        <f t="shared" si="77"/>
        <v>97</v>
      </c>
      <c r="R870">
        <f t="shared" si="77"/>
        <v>114</v>
      </c>
      <c r="S870">
        <f t="shared" si="77"/>
        <v>108</v>
      </c>
      <c r="T870">
        <f t="shared" si="77"/>
        <v>101</v>
      </c>
      <c r="U870">
        <f t="shared" si="77"/>
        <v>110</v>
      </c>
      <c r="V870">
        <f t="shared" si="77"/>
        <v>101</v>
      </c>
      <c r="W870" s="5">
        <f t="shared" si="72"/>
        <v>891</v>
      </c>
      <c r="X870" s="9" t="str">
        <f t="shared" si="73"/>
        <v>h891</v>
      </c>
    </row>
    <row r="871" spans="1:24" x14ac:dyDescent="0.2">
      <c r="A871" s="9" t="s">
        <v>425</v>
      </c>
      <c r="B871" s="9">
        <v>1</v>
      </c>
      <c r="C871" s="22">
        <v>14</v>
      </c>
      <c r="D871" s="25"/>
      <c r="E871" s="23">
        <v>45264</v>
      </c>
      <c r="F871" s="23" t="s">
        <v>364</v>
      </c>
      <c r="G871" s="25" t="s">
        <v>20</v>
      </c>
      <c r="H871" s="24">
        <v>1</v>
      </c>
      <c r="I871" s="25" t="s">
        <v>171</v>
      </c>
      <c r="J871" s="32">
        <v>45209</v>
      </c>
      <c r="K871" s="24">
        <v>0.83</v>
      </c>
      <c r="L871" s="25">
        <f t="shared" si="75"/>
        <v>668</v>
      </c>
      <c r="M871" s="4">
        <f>IF(Table3[[#This Row],[Afrondingsdatum YB]]="N/A","-",Table3[[#This Row],[Afrondingsdatum YB]]-Table3[[#This Row],[StartDatum]])</f>
        <v>45209</v>
      </c>
      <c r="N871" s="4"/>
      <c r="O871">
        <f t="shared" si="76"/>
        <v>99</v>
      </c>
      <c r="P871">
        <f t="shared" si="77"/>
        <v>104</v>
      </c>
      <c r="Q871">
        <f t="shared" si="77"/>
        <v>101</v>
      </c>
      <c r="R871">
        <f t="shared" si="77"/>
        <v>110</v>
      </c>
      <c r="S871">
        <f t="shared" si="77"/>
        <v>111</v>
      </c>
      <c r="T871">
        <f t="shared" si="77"/>
        <v>97</v>
      </c>
      <c r="U871">
        <f t="shared" si="77"/>
        <v>46</v>
      </c>
      <c r="V871">
        <f t="shared" si="77"/>
        <v>118</v>
      </c>
      <c r="W871" s="5">
        <f t="shared" si="72"/>
        <v>854</v>
      </c>
      <c r="X871" s="9" t="str">
        <f t="shared" si="73"/>
        <v>h854</v>
      </c>
    </row>
    <row r="872" spans="1:24" x14ac:dyDescent="0.2">
      <c r="A872" s="9" t="s">
        <v>425</v>
      </c>
      <c r="B872" s="9">
        <v>1</v>
      </c>
      <c r="C872" s="22">
        <v>14</v>
      </c>
      <c r="D872" s="25"/>
      <c r="E872" s="23">
        <v>45264</v>
      </c>
      <c r="F872" s="18" t="s">
        <v>364</v>
      </c>
      <c r="G872" s="20" t="s">
        <v>21</v>
      </c>
      <c r="H872" s="19">
        <v>1</v>
      </c>
      <c r="I872" s="20" t="s">
        <v>208</v>
      </c>
      <c r="J872" s="34">
        <v>45237</v>
      </c>
      <c r="K872" s="19">
        <v>0.73</v>
      </c>
      <c r="L872" s="20">
        <f t="shared" si="75"/>
        <v>681</v>
      </c>
      <c r="M872" s="4">
        <f>IF(Table3[[#This Row],[Afrondingsdatum YB]]="N/A","-",Table3[[#This Row],[Afrondingsdatum YB]]-Table3[[#This Row],[StartDatum]])</f>
        <v>45237</v>
      </c>
      <c r="N872" s="4"/>
      <c r="O872">
        <f t="shared" si="76"/>
        <v>100</v>
      </c>
      <c r="P872">
        <f t="shared" si="77"/>
        <v>97</v>
      </c>
      <c r="Q872">
        <f t="shared" si="77"/>
        <v>115</v>
      </c>
      <c r="R872">
        <f t="shared" si="77"/>
        <v>116</v>
      </c>
      <c r="S872">
        <f t="shared" si="77"/>
        <v>97</v>
      </c>
      <c r="T872">
        <f t="shared" si="77"/>
        <v>110</v>
      </c>
      <c r="U872">
        <f t="shared" si="77"/>
        <v>46</v>
      </c>
      <c r="V872">
        <f t="shared" si="77"/>
        <v>109</v>
      </c>
      <c r="W872" s="5">
        <f t="shared" si="72"/>
        <v>885</v>
      </c>
      <c r="X872" s="9" t="str">
        <f t="shared" si="73"/>
        <v>a885</v>
      </c>
    </row>
    <row r="873" spans="1:24" x14ac:dyDescent="0.2">
      <c r="A873" s="9" t="s">
        <v>425</v>
      </c>
      <c r="B873" s="9">
        <v>1</v>
      </c>
      <c r="C873" s="22">
        <v>14</v>
      </c>
      <c r="D873" s="25"/>
      <c r="E873" s="23">
        <v>45264</v>
      </c>
      <c r="F873" s="23" t="s">
        <v>363</v>
      </c>
      <c r="G873" s="25" t="s">
        <v>22</v>
      </c>
      <c r="H873" s="24">
        <v>1</v>
      </c>
      <c r="I873" s="25" t="s">
        <v>221</v>
      </c>
      <c r="J873" s="32">
        <v>45225</v>
      </c>
      <c r="K873" s="24">
        <v>0.7</v>
      </c>
      <c r="L873" s="25">
        <f t="shared" si="75"/>
        <v>676</v>
      </c>
      <c r="M873" s="4">
        <f>IF(Table3[[#This Row],[Afrondingsdatum YB]]="N/A","-",Table3[[#This Row],[Afrondingsdatum YB]]-Table3[[#This Row],[StartDatum]])</f>
        <v>45225</v>
      </c>
      <c r="N873" s="4"/>
      <c r="O873">
        <f t="shared" si="76"/>
        <v>100</v>
      </c>
      <c r="P873">
        <f t="shared" si="77"/>
        <v>101</v>
      </c>
      <c r="Q873">
        <f t="shared" si="77"/>
        <v>109</v>
      </c>
      <c r="R873">
        <f t="shared" si="77"/>
        <v>105</v>
      </c>
      <c r="S873">
        <f t="shared" si="77"/>
        <v>46</v>
      </c>
      <c r="T873">
        <f t="shared" si="77"/>
        <v>118</v>
      </c>
      <c r="U873">
        <f t="shared" si="77"/>
        <v>97</v>
      </c>
      <c r="V873">
        <f t="shared" si="77"/>
        <v>110</v>
      </c>
      <c r="W873" s="5">
        <f t="shared" ref="W873:W933" si="78">ROUND((O873*O$1+P873/P$1+Q873*Q$1+R873/R$1)+SUM(S873:V873),0)</f>
        <v>875</v>
      </c>
      <c r="X873" s="9" t="str">
        <f t="shared" ref="X873:X933" si="79">MID(G873,2,1)&amp;TEXT(W873,"###")</f>
        <v>e875</v>
      </c>
    </row>
    <row r="874" spans="1:24" x14ac:dyDescent="0.2">
      <c r="A874" s="9" t="s">
        <v>425</v>
      </c>
      <c r="B874" s="9">
        <v>1</v>
      </c>
      <c r="C874" s="22">
        <v>14</v>
      </c>
      <c r="D874" s="25"/>
      <c r="E874" s="23">
        <v>45264</v>
      </c>
      <c r="F874" s="18" t="s">
        <v>363</v>
      </c>
      <c r="G874" s="20" t="s">
        <v>23</v>
      </c>
      <c r="H874" s="19">
        <v>0.97</v>
      </c>
      <c r="I874" s="20" t="s">
        <v>227</v>
      </c>
      <c r="J874" s="20" t="s">
        <v>7</v>
      </c>
      <c r="K874" s="20" t="s">
        <v>9</v>
      </c>
      <c r="L874" s="20">
        <f t="shared" si="75"/>
        <v>681</v>
      </c>
      <c r="M874" s="4" t="str">
        <f>IF(Table3[[#This Row],[Afrondingsdatum YB]]="N/A","-",Table3[[#This Row],[Afrondingsdatum YB]]-Table3[[#This Row],[StartDatum]])</f>
        <v>-</v>
      </c>
      <c r="N874" s="4"/>
      <c r="O874">
        <f t="shared" si="76"/>
        <v>101</v>
      </c>
      <c r="P874">
        <f t="shared" si="77"/>
        <v>108</v>
      </c>
      <c r="Q874">
        <f t="shared" si="77"/>
        <v>105</v>
      </c>
      <c r="R874">
        <f t="shared" si="77"/>
        <v>122</v>
      </c>
      <c r="S874">
        <f t="shared" si="77"/>
        <v>101</v>
      </c>
      <c r="T874">
        <f t="shared" si="77"/>
        <v>46</v>
      </c>
      <c r="U874">
        <f t="shared" si="77"/>
        <v>98</v>
      </c>
      <c r="V874">
        <f t="shared" si="77"/>
        <v>97</v>
      </c>
      <c r="W874" s="5">
        <f t="shared" si="78"/>
        <v>843</v>
      </c>
      <c r="X874" s="9" t="str">
        <f t="shared" si="79"/>
        <v>l843</v>
      </c>
    </row>
    <row r="875" spans="1:24" x14ac:dyDescent="0.2">
      <c r="A875" s="9" t="s">
        <v>425</v>
      </c>
      <c r="B875" s="9">
        <v>1</v>
      </c>
      <c r="C875" s="22">
        <v>14</v>
      </c>
      <c r="D875" s="25"/>
      <c r="E875" s="23">
        <v>45264</v>
      </c>
      <c r="F875" s="23" t="s">
        <v>363</v>
      </c>
      <c r="G875" s="25" t="s">
        <v>24</v>
      </c>
      <c r="H875" s="24">
        <v>1</v>
      </c>
      <c r="I875" s="25" t="s">
        <v>222</v>
      </c>
      <c r="J875" s="32">
        <v>45225</v>
      </c>
      <c r="K875" s="24">
        <v>0.73</v>
      </c>
      <c r="L875" s="25">
        <f t="shared" si="75"/>
        <v>705</v>
      </c>
      <c r="M875" s="4">
        <f>IF(Table3[[#This Row],[Afrondingsdatum YB]]="N/A","-",Table3[[#This Row],[Afrondingsdatum YB]]-Table3[[#This Row],[StartDatum]])</f>
        <v>45225</v>
      </c>
      <c r="N875" s="4"/>
      <c r="O875">
        <f t="shared" si="76"/>
        <v>102</v>
      </c>
      <c r="P875">
        <f t="shared" si="77"/>
        <v>105</v>
      </c>
      <c r="Q875">
        <f t="shared" si="77"/>
        <v>115</v>
      </c>
      <c r="R875">
        <f t="shared" si="77"/>
        <v>116</v>
      </c>
      <c r="S875">
        <f t="shared" si="77"/>
        <v>111</v>
      </c>
      <c r="T875">
        <f t="shared" si="77"/>
        <v>110</v>
      </c>
      <c r="U875">
        <f t="shared" si="77"/>
        <v>46</v>
      </c>
      <c r="V875">
        <f t="shared" si="77"/>
        <v>99</v>
      </c>
      <c r="W875" s="5">
        <f t="shared" si="78"/>
        <v>895</v>
      </c>
      <c r="X875" s="9" t="str">
        <f t="shared" si="79"/>
        <v>i895</v>
      </c>
    </row>
    <row r="876" spans="1:24" x14ac:dyDescent="0.2">
      <c r="A876" s="9" t="s">
        <v>425</v>
      </c>
      <c r="B876" s="9">
        <v>1</v>
      </c>
      <c r="C876" s="22">
        <v>14</v>
      </c>
      <c r="D876" s="25"/>
      <c r="E876" s="23">
        <v>45264</v>
      </c>
      <c r="F876" s="18" t="s">
        <v>362</v>
      </c>
      <c r="G876" s="20" t="s">
        <v>118</v>
      </c>
      <c r="H876" s="19">
        <v>0.99</v>
      </c>
      <c r="I876" s="20" t="s">
        <v>257</v>
      </c>
      <c r="J876" s="20" t="s">
        <v>7</v>
      </c>
      <c r="K876" s="20" t="s">
        <v>9</v>
      </c>
      <c r="L876" s="20">
        <f t="shared" si="75"/>
        <v>756</v>
      </c>
      <c r="M876" s="4" t="str">
        <f>IF(Table3[[#This Row],[Afrondingsdatum YB]]="N/A","-",Table3[[#This Row],[Afrondingsdatum YB]]-Table3[[#This Row],[StartDatum]])</f>
        <v>-</v>
      </c>
      <c r="N876" s="4"/>
      <c r="O876">
        <f t="shared" si="76"/>
        <v>103</v>
      </c>
      <c r="P876">
        <f t="shared" si="77"/>
        <v>101</v>
      </c>
      <c r="Q876">
        <f t="shared" si="77"/>
        <v>110</v>
      </c>
      <c r="R876">
        <f t="shared" si="77"/>
        <v>116</v>
      </c>
      <c r="S876">
        <f t="shared" si="77"/>
        <v>97</v>
      </c>
      <c r="T876">
        <f t="shared" si="77"/>
        <v>108</v>
      </c>
      <c r="U876">
        <f t="shared" si="77"/>
        <v>121</v>
      </c>
      <c r="V876">
        <f t="shared" si="77"/>
        <v>46</v>
      </c>
      <c r="W876" s="5">
        <f t="shared" si="78"/>
        <v>885</v>
      </c>
      <c r="X876" s="9" t="str">
        <f t="shared" si="79"/>
        <v>e885</v>
      </c>
    </row>
    <row r="877" spans="1:24" x14ac:dyDescent="0.2">
      <c r="A877" s="9" t="s">
        <v>425</v>
      </c>
      <c r="B877" s="9">
        <v>1</v>
      </c>
      <c r="C877" s="22">
        <v>14</v>
      </c>
      <c r="D877" s="25"/>
      <c r="E877" s="23">
        <v>45264</v>
      </c>
      <c r="F877" s="23" t="s">
        <v>362</v>
      </c>
      <c r="G877" s="25" t="s">
        <v>25</v>
      </c>
      <c r="H877" s="24">
        <v>1</v>
      </c>
      <c r="I877" s="25" t="s">
        <v>215</v>
      </c>
      <c r="J877" s="32">
        <v>45231</v>
      </c>
      <c r="K877" s="24">
        <v>0.73</v>
      </c>
      <c r="L877" s="25">
        <f t="shared" si="75"/>
        <v>690</v>
      </c>
      <c r="M877" s="4">
        <f>IF(Table3[[#This Row],[Afrondingsdatum YB]]="N/A","-",Table3[[#This Row],[Afrondingsdatum YB]]-Table3[[#This Row],[StartDatum]])</f>
        <v>45231</v>
      </c>
      <c r="N877" s="4"/>
      <c r="O877">
        <f t="shared" si="76"/>
        <v>103</v>
      </c>
      <c r="P877">
        <f t="shared" si="77"/>
        <v>108</v>
      </c>
      <c r="Q877">
        <f t="shared" si="77"/>
        <v>105</v>
      </c>
      <c r="R877">
        <f t="shared" si="77"/>
        <v>103</v>
      </c>
      <c r="S877">
        <f t="shared" si="77"/>
        <v>111</v>
      </c>
      <c r="T877">
        <f t="shared" si="77"/>
        <v>114</v>
      </c>
      <c r="U877">
        <f t="shared" si="77"/>
        <v>46</v>
      </c>
      <c r="V877">
        <f t="shared" si="77"/>
        <v>106</v>
      </c>
      <c r="W877" s="5">
        <f t="shared" si="78"/>
        <v>875</v>
      </c>
      <c r="X877" s="9" t="str">
        <f t="shared" si="79"/>
        <v>l875</v>
      </c>
    </row>
    <row r="878" spans="1:24" x14ac:dyDescent="0.2">
      <c r="A878" s="9" t="s">
        <v>425</v>
      </c>
      <c r="B878" s="9">
        <v>1</v>
      </c>
      <c r="C878" s="22">
        <v>14</v>
      </c>
      <c r="D878" s="25"/>
      <c r="E878" s="23">
        <v>45264</v>
      </c>
      <c r="F878" s="18" t="s">
        <v>363</v>
      </c>
      <c r="G878" s="20" t="s">
        <v>26</v>
      </c>
      <c r="H878" s="19">
        <v>1</v>
      </c>
      <c r="I878" s="20" t="s">
        <v>240</v>
      </c>
      <c r="J878" s="34">
        <v>45230</v>
      </c>
      <c r="K878" s="19">
        <v>0.83</v>
      </c>
      <c r="L878" s="20">
        <f t="shared" si="75"/>
        <v>690</v>
      </c>
      <c r="M878" s="4">
        <f>IF(Table3[[#This Row],[Afrondingsdatum YB]]="N/A","-",Table3[[#This Row],[Afrondingsdatum YB]]-Table3[[#This Row],[StartDatum]])</f>
        <v>45230</v>
      </c>
      <c r="N878" s="4"/>
      <c r="O878">
        <f t="shared" si="76"/>
        <v>104</v>
      </c>
      <c r="P878">
        <f t="shared" si="77"/>
        <v>97</v>
      </c>
      <c r="Q878">
        <f t="shared" si="77"/>
        <v>122</v>
      </c>
      <c r="R878">
        <f t="shared" si="77"/>
        <v>101</v>
      </c>
      <c r="S878">
        <f t="shared" si="77"/>
        <v>109</v>
      </c>
      <c r="T878">
        <f t="shared" si="77"/>
        <v>46</v>
      </c>
      <c r="U878">
        <f t="shared" si="77"/>
        <v>111</v>
      </c>
      <c r="V878">
        <f t="shared" si="77"/>
        <v>110</v>
      </c>
      <c r="W878" s="5">
        <f t="shared" si="78"/>
        <v>920</v>
      </c>
      <c r="X878" s="9" t="str">
        <f t="shared" si="79"/>
        <v>a920</v>
      </c>
    </row>
    <row r="879" spans="1:24" x14ac:dyDescent="0.2">
      <c r="A879" s="9" t="s">
        <v>425</v>
      </c>
      <c r="B879" s="9">
        <v>1</v>
      </c>
      <c r="C879" s="22">
        <v>14</v>
      </c>
      <c r="D879" s="25"/>
      <c r="E879" s="23">
        <v>45264</v>
      </c>
      <c r="F879" s="23" t="s">
        <v>364</v>
      </c>
      <c r="G879" s="25" t="s">
        <v>27</v>
      </c>
      <c r="H879" s="24">
        <v>1</v>
      </c>
      <c r="I879" s="25" t="s">
        <v>147</v>
      </c>
      <c r="J879" s="32">
        <v>45253</v>
      </c>
      <c r="K879" s="24">
        <v>0.75</v>
      </c>
      <c r="L879" s="25">
        <f t="shared" si="75"/>
        <v>734</v>
      </c>
      <c r="M879" s="4">
        <f>IF(Table3[[#This Row],[Afrondingsdatum YB]]="N/A","-",Table3[[#This Row],[Afrondingsdatum YB]]-Table3[[#This Row],[StartDatum]])</f>
        <v>45253</v>
      </c>
      <c r="N879" s="4"/>
      <c r="O879">
        <f t="shared" si="76"/>
        <v>104</v>
      </c>
      <c r="P879">
        <f t="shared" si="77"/>
        <v>101</v>
      </c>
      <c r="Q879">
        <f t="shared" si="77"/>
        <v>114</v>
      </c>
      <c r="R879">
        <f t="shared" si="77"/>
        <v>109</v>
      </c>
      <c r="S879">
        <f t="shared" si="77"/>
        <v>101</v>
      </c>
      <c r="T879">
        <f t="shared" si="77"/>
        <v>108</v>
      </c>
      <c r="U879">
        <f t="shared" si="77"/>
        <v>97</v>
      </c>
      <c r="V879">
        <f t="shared" si="77"/>
        <v>46</v>
      </c>
      <c r="W879" s="5">
        <f t="shared" si="78"/>
        <v>876</v>
      </c>
      <c r="X879" s="9" t="str">
        <f t="shared" si="79"/>
        <v>e876</v>
      </c>
    </row>
    <row r="880" spans="1:24" x14ac:dyDescent="0.2">
      <c r="A880" s="9" t="s">
        <v>425</v>
      </c>
      <c r="B880" s="9">
        <v>1</v>
      </c>
      <c r="C880" s="22">
        <v>14</v>
      </c>
      <c r="D880" s="25"/>
      <c r="E880" s="23">
        <v>45264</v>
      </c>
      <c r="F880" s="18" t="s">
        <v>364</v>
      </c>
      <c r="G880" s="20" t="s">
        <v>28</v>
      </c>
      <c r="H880" s="19">
        <v>1</v>
      </c>
      <c r="I880" s="20" t="s">
        <v>241</v>
      </c>
      <c r="J880" s="34">
        <v>45233</v>
      </c>
      <c r="K880" s="19">
        <v>0.93</v>
      </c>
      <c r="L880" s="20">
        <f t="shared" si="75"/>
        <v>665</v>
      </c>
      <c r="M880" s="4">
        <f>IF(Table3[[#This Row],[Afrondingsdatum YB]]="N/A","-",Table3[[#This Row],[Afrondingsdatum YB]]-Table3[[#This Row],[StartDatum]])</f>
        <v>45233</v>
      </c>
      <c r="N880" s="4"/>
      <c r="O880">
        <f t="shared" si="76"/>
        <v>104</v>
      </c>
      <c r="P880">
        <f t="shared" si="77"/>
        <v>117</v>
      </c>
      <c r="Q880">
        <f t="shared" si="77"/>
        <v>105</v>
      </c>
      <c r="R880">
        <f t="shared" si="77"/>
        <v>98</v>
      </c>
      <c r="S880">
        <f t="shared" si="77"/>
        <v>46</v>
      </c>
      <c r="T880">
        <f t="shared" si="77"/>
        <v>98</v>
      </c>
      <c r="U880">
        <f t="shared" si="77"/>
        <v>97</v>
      </c>
      <c r="V880">
        <f t="shared" si="77"/>
        <v>107</v>
      </c>
      <c r="W880" s="5">
        <f t="shared" si="78"/>
        <v>850</v>
      </c>
      <c r="X880" s="9" t="str">
        <f t="shared" si="79"/>
        <v>u850</v>
      </c>
    </row>
    <row r="881" spans="1:24" x14ac:dyDescent="0.2">
      <c r="A881" s="9" t="s">
        <v>425</v>
      </c>
      <c r="B881" s="9">
        <v>1</v>
      </c>
      <c r="C881" s="22">
        <v>14</v>
      </c>
      <c r="D881" s="25"/>
      <c r="E881" s="23">
        <v>45264</v>
      </c>
      <c r="F881" s="23" t="s">
        <v>363</v>
      </c>
      <c r="G881" s="25" t="s">
        <v>29</v>
      </c>
      <c r="H881" s="24">
        <v>1</v>
      </c>
      <c r="I881" s="25" t="s">
        <v>179</v>
      </c>
      <c r="J881" s="32">
        <v>45210</v>
      </c>
      <c r="K881" s="24">
        <v>0.85</v>
      </c>
      <c r="L881" s="25">
        <f t="shared" si="75"/>
        <v>682</v>
      </c>
      <c r="M881" s="4">
        <f>IF(Table3[[#This Row],[Afrondingsdatum YB]]="N/A","-",Table3[[#This Row],[Afrondingsdatum YB]]-Table3[[#This Row],[StartDatum]])</f>
        <v>45210</v>
      </c>
      <c r="N881" s="4"/>
      <c r="O881">
        <f t="shared" si="76"/>
        <v>105</v>
      </c>
      <c r="P881">
        <f t="shared" si="77"/>
        <v>107</v>
      </c>
      <c r="Q881">
        <f t="shared" si="77"/>
        <v>104</v>
      </c>
      <c r="R881">
        <f t="shared" si="77"/>
        <v>108</v>
      </c>
      <c r="S881">
        <f t="shared" si="77"/>
        <v>97</v>
      </c>
      <c r="T881">
        <f t="shared" si="77"/>
        <v>115</v>
      </c>
      <c r="U881">
        <f t="shared" si="77"/>
        <v>46</v>
      </c>
      <c r="V881">
        <f t="shared" si="77"/>
        <v>98</v>
      </c>
      <c r="W881" s="5">
        <f t="shared" si="78"/>
        <v>854</v>
      </c>
      <c r="X881" s="9" t="str">
        <f t="shared" si="79"/>
        <v>k854</v>
      </c>
    </row>
    <row r="882" spans="1:24" x14ac:dyDescent="0.2">
      <c r="A882" s="9" t="s">
        <v>425</v>
      </c>
      <c r="B882" s="9">
        <v>1</v>
      </c>
      <c r="C882" s="22">
        <v>14</v>
      </c>
      <c r="D882" s="25"/>
      <c r="E882" s="23">
        <v>45264</v>
      </c>
      <c r="F882" s="18" t="s">
        <v>363</v>
      </c>
      <c r="G882" s="20" t="s">
        <v>30</v>
      </c>
      <c r="H882" s="19">
        <v>1</v>
      </c>
      <c r="I882" s="20" t="s">
        <v>225</v>
      </c>
      <c r="J882" s="34">
        <v>45226</v>
      </c>
      <c r="K882" s="19">
        <v>0.75</v>
      </c>
      <c r="L882" s="20">
        <f t="shared" si="75"/>
        <v>701</v>
      </c>
      <c r="M882" s="4">
        <f>IF(Table3[[#This Row],[Afrondingsdatum YB]]="N/A","-",Table3[[#This Row],[Afrondingsdatum YB]]-Table3[[#This Row],[StartDatum]])</f>
        <v>45226</v>
      </c>
      <c r="N882" s="4"/>
      <c r="O882">
        <f t="shared" si="76"/>
        <v>105</v>
      </c>
      <c r="P882">
        <f t="shared" si="77"/>
        <v>108</v>
      </c>
      <c r="Q882">
        <f t="shared" si="77"/>
        <v>107</v>
      </c>
      <c r="R882">
        <f t="shared" si="77"/>
        <v>97</v>
      </c>
      <c r="S882">
        <f t="shared" si="77"/>
        <v>121</v>
      </c>
      <c r="T882">
        <f t="shared" si="77"/>
        <v>46</v>
      </c>
      <c r="U882">
        <f t="shared" si="77"/>
        <v>117</v>
      </c>
      <c r="V882">
        <f t="shared" si="77"/>
        <v>121</v>
      </c>
      <c r="W882" s="5">
        <f t="shared" si="78"/>
        <v>909</v>
      </c>
      <c r="X882" s="9" t="str">
        <f t="shared" si="79"/>
        <v>l909</v>
      </c>
    </row>
    <row r="883" spans="1:24" x14ac:dyDescent="0.2">
      <c r="A883" s="9" t="s">
        <v>425</v>
      </c>
      <c r="B883" s="9">
        <v>1</v>
      </c>
      <c r="C883" s="22">
        <v>14</v>
      </c>
      <c r="D883" s="25"/>
      <c r="E883" s="23">
        <v>45264</v>
      </c>
      <c r="F883" s="23" t="s">
        <v>364</v>
      </c>
      <c r="G883" s="25" t="s">
        <v>31</v>
      </c>
      <c r="H883" s="24">
        <v>1</v>
      </c>
      <c r="I883" s="25" t="s">
        <v>207</v>
      </c>
      <c r="J883" s="32">
        <v>45230</v>
      </c>
      <c r="K883" s="24">
        <v>0.85</v>
      </c>
      <c r="L883" s="25">
        <f t="shared" si="75"/>
        <v>661</v>
      </c>
      <c r="M883" s="4">
        <f>IF(Table3[[#This Row],[Afrondingsdatum YB]]="N/A","-",Table3[[#This Row],[Afrondingsdatum YB]]-Table3[[#This Row],[StartDatum]])</f>
        <v>45230</v>
      </c>
      <c r="N883" s="4"/>
      <c r="O883">
        <f t="shared" si="76"/>
        <v>106</v>
      </c>
      <c r="P883">
        <f t="shared" si="77"/>
        <v>97</v>
      </c>
      <c r="Q883">
        <f t="shared" si="77"/>
        <v>109</v>
      </c>
      <c r="R883">
        <f t="shared" si="77"/>
        <v>97</v>
      </c>
      <c r="S883">
        <f t="shared" si="77"/>
        <v>108</v>
      </c>
      <c r="T883">
        <f t="shared" si="77"/>
        <v>46</v>
      </c>
      <c r="U883">
        <f t="shared" si="77"/>
        <v>98</v>
      </c>
      <c r="V883">
        <f t="shared" si="77"/>
        <v>97</v>
      </c>
      <c r="W883" s="5">
        <f t="shared" si="78"/>
        <v>855</v>
      </c>
      <c r="X883" s="9" t="str">
        <f t="shared" si="79"/>
        <v>a855</v>
      </c>
    </row>
    <row r="884" spans="1:24" x14ac:dyDescent="0.2">
      <c r="A884" s="9" t="s">
        <v>425</v>
      </c>
      <c r="B884" s="9">
        <v>1</v>
      </c>
      <c r="C884" s="22">
        <v>14</v>
      </c>
      <c r="D884" s="25"/>
      <c r="E884" s="23">
        <v>45264</v>
      </c>
      <c r="F884" s="18" t="s">
        <v>364</v>
      </c>
      <c r="G884" s="20" t="s">
        <v>75</v>
      </c>
      <c r="H884" s="19">
        <v>0</v>
      </c>
      <c r="I884" s="20" t="s">
        <v>8</v>
      </c>
      <c r="J884" s="20" t="s">
        <v>7</v>
      </c>
      <c r="K884" s="20" t="s">
        <v>9</v>
      </c>
      <c r="L884" s="20">
        <f t="shared" si="75"/>
        <v>698</v>
      </c>
      <c r="M884" s="4" t="str">
        <f>IF(Table3[[#This Row],[Afrondingsdatum YB]]="N/A","-",Table3[[#This Row],[Afrondingsdatum YB]]-Table3[[#This Row],[StartDatum]])</f>
        <v>-</v>
      </c>
      <c r="N884" s="4"/>
      <c r="O884">
        <f t="shared" si="76"/>
        <v>74</v>
      </c>
      <c r="P884">
        <f t="shared" si="77"/>
        <v>97</v>
      </c>
      <c r="Q884">
        <f t="shared" si="77"/>
        <v>109</v>
      </c>
      <c r="R884">
        <f t="shared" si="77"/>
        <v>105</v>
      </c>
      <c r="S884">
        <f t="shared" si="77"/>
        <v>108</v>
      </c>
      <c r="T884">
        <f t="shared" si="77"/>
        <v>108</v>
      </c>
      <c r="U884">
        <f t="shared" si="77"/>
        <v>97</v>
      </c>
      <c r="V884">
        <f t="shared" si="77"/>
        <v>98</v>
      </c>
      <c r="W884" s="5">
        <f t="shared" si="78"/>
        <v>887</v>
      </c>
      <c r="X884" s="9" t="str">
        <f t="shared" si="79"/>
        <v>a887</v>
      </c>
    </row>
    <row r="885" spans="1:24" x14ac:dyDescent="0.2">
      <c r="A885" s="9" t="s">
        <v>425</v>
      </c>
      <c r="B885" s="9">
        <v>1</v>
      </c>
      <c r="C885" s="22">
        <v>14</v>
      </c>
      <c r="D885" s="25"/>
      <c r="E885" s="23">
        <v>45264</v>
      </c>
      <c r="F885" s="23" t="s">
        <v>363</v>
      </c>
      <c r="G885" s="25" t="s">
        <v>32</v>
      </c>
      <c r="H885" s="24">
        <v>1</v>
      </c>
      <c r="I885" s="25" t="s">
        <v>181</v>
      </c>
      <c r="J885" s="32">
        <v>45209</v>
      </c>
      <c r="K885" s="24">
        <v>0.78</v>
      </c>
      <c r="L885" s="25">
        <f t="shared" si="75"/>
        <v>698</v>
      </c>
      <c r="M885" s="4">
        <f>IF(Table3[[#This Row],[Afrondingsdatum YB]]="N/A","-",Table3[[#This Row],[Afrondingsdatum YB]]-Table3[[#This Row],[StartDatum]])</f>
        <v>45209</v>
      </c>
      <c r="N885" s="4"/>
      <c r="O885">
        <f t="shared" si="76"/>
        <v>106</v>
      </c>
      <c r="P885">
        <f t="shared" si="77"/>
        <v>97</v>
      </c>
      <c r="Q885">
        <f t="shared" si="77"/>
        <v>114</v>
      </c>
      <c r="R885">
        <f t="shared" si="77"/>
        <v>114</v>
      </c>
      <c r="S885">
        <f t="shared" si="77"/>
        <v>111</v>
      </c>
      <c r="T885">
        <f t="shared" si="77"/>
        <v>110</v>
      </c>
      <c r="U885">
        <f t="shared" si="77"/>
        <v>46</v>
      </c>
      <c r="V885">
        <f t="shared" si="77"/>
        <v>118</v>
      </c>
      <c r="W885" s="5">
        <f t="shared" si="78"/>
        <v>910</v>
      </c>
      <c r="X885" s="9" t="str">
        <f t="shared" si="79"/>
        <v>a910</v>
      </c>
    </row>
    <row r="886" spans="1:24" x14ac:dyDescent="0.2">
      <c r="A886" s="9" t="s">
        <v>425</v>
      </c>
      <c r="B886" s="9">
        <v>1</v>
      </c>
      <c r="C886" s="22">
        <v>14</v>
      </c>
      <c r="D886" s="25"/>
      <c r="E886" s="23">
        <v>45264</v>
      </c>
      <c r="F886" s="18" t="s">
        <v>362</v>
      </c>
      <c r="G886" s="20" t="s">
        <v>33</v>
      </c>
      <c r="H886" s="19">
        <v>0.36</v>
      </c>
      <c r="I886" s="20" t="s">
        <v>228</v>
      </c>
      <c r="J886" s="20" t="s">
        <v>7</v>
      </c>
      <c r="K886" s="20" t="s">
        <v>9</v>
      </c>
      <c r="L886" s="20">
        <f t="shared" si="75"/>
        <v>707</v>
      </c>
      <c r="M886" s="4" t="str">
        <f>IF(Table3[[#This Row],[Afrondingsdatum YB]]="N/A","-",Table3[[#This Row],[Afrondingsdatum YB]]-Table3[[#This Row],[StartDatum]])</f>
        <v>-</v>
      </c>
      <c r="N886" s="4"/>
      <c r="O886">
        <f t="shared" si="76"/>
        <v>106</v>
      </c>
      <c r="P886">
        <f t="shared" si="77"/>
        <v>101</v>
      </c>
      <c r="Q886">
        <f t="shared" si="77"/>
        <v>118</v>
      </c>
      <c r="R886">
        <f t="shared" si="77"/>
        <v>111</v>
      </c>
      <c r="S886">
        <f t="shared" si="77"/>
        <v>110</v>
      </c>
      <c r="T886">
        <f t="shared" si="77"/>
        <v>46</v>
      </c>
      <c r="U886">
        <f t="shared" si="77"/>
        <v>115</v>
      </c>
      <c r="V886">
        <f t="shared" si="77"/>
        <v>109</v>
      </c>
      <c r="W886" s="5">
        <f t="shared" si="78"/>
        <v>918</v>
      </c>
      <c r="X886" s="9" t="str">
        <f t="shared" si="79"/>
        <v>e918</v>
      </c>
    </row>
    <row r="887" spans="1:24" x14ac:dyDescent="0.2">
      <c r="A887" s="9" t="s">
        <v>425</v>
      </c>
      <c r="B887" s="9">
        <v>1</v>
      </c>
      <c r="C887" s="22">
        <v>14</v>
      </c>
      <c r="D887" s="25"/>
      <c r="E887" s="23">
        <v>45264</v>
      </c>
      <c r="F887" s="23" t="s">
        <v>362</v>
      </c>
      <c r="G887" s="25" t="s">
        <v>125</v>
      </c>
      <c r="H887" s="24">
        <v>1</v>
      </c>
      <c r="I887" s="25" t="s">
        <v>259</v>
      </c>
      <c r="J887" s="32">
        <v>45238</v>
      </c>
      <c r="K887" s="24">
        <v>0.93</v>
      </c>
      <c r="L887" s="25">
        <f t="shared" si="75"/>
        <v>689</v>
      </c>
      <c r="M887" s="4">
        <f>IF(Table3[[#This Row],[Afrondingsdatum YB]]="N/A","-",Table3[[#This Row],[Afrondingsdatum YB]]-Table3[[#This Row],[StartDatum]])</f>
        <v>45238</v>
      </c>
      <c r="N887" s="4"/>
      <c r="O887">
        <f t="shared" si="76"/>
        <v>106</v>
      </c>
      <c r="P887">
        <f t="shared" si="77"/>
        <v>111</v>
      </c>
      <c r="Q887">
        <f t="shared" si="77"/>
        <v>98</v>
      </c>
      <c r="R887">
        <f t="shared" si="77"/>
        <v>46</v>
      </c>
      <c r="S887">
        <f t="shared" si="77"/>
        <v>107</v>
      </c>
      <c r="T887">
        <f t="shared" si="77"/>
        <v>110</v>
      </c>
      <c r="U887">
        <f t="shared" si="77"/>
        <v>111</v>
      </c>
      <c r="V887">
        <f t="shared" si="77"/>
        <v>111</v>
      </c>
      <c r="W887" s="5">
        <f t="shared" si="78"/>
        <v>906</v>
      </c>
      <c r="X887" s="9" t="str">
        <f t="shared" si="79"/>
        <v>o906</v>
      </c>
    </row>
    <row r="888" spans="1:24" x14ac:dyDescent="0.2">
      <c r="A888" s="9" t="s">
        <v>425</v>
      </c>
      <c r="B888" s="9">
        <v>1</v>
      </c>
      <c r="C888" s="22">
        <v>14</v>
      </c>
      <c r="D888" s="25"/>
      <c r="E888" s="23">
        <v>45264</v>
      </c>
      <c r="F888" s="18" t="s">
        <v>362</v>
      </c>
      <c r="G888" s="20" t="s">
        <v>34</v>
      </c>
      <c r="H888" s="19">
        <v>1</v>
      </c>
      <c r="I888" s="20" t="s">
        <v>148</v>
      </c>
      <c r="J888" s="34">
        <v>45238</v>
      </c>
      <c r="K888" s="19">
        <v>0.85</v>
      </c>
      <c r="L888" s="20">
        <f t="shared" si="75"/>
        <v>676</v>
      </c>
      <c r="M888" s="4">
        <f>IF(Table3[[#This Row],[Afrondingsdatum YB]]="N/A","-",Table3[[#This Row],[Afrondingsdatum YB]]-Table3[[#This Row],[StartDatum]])</f>
        <v>45238</v>
      </c>
      <c r="N888" s="4"/>
      <c r="O888">
        <f t="shared" si="76"/>
        <v>106</v>
      </c>
      <c r="P888">
        <f t="shared" si="77"/>
        <v>111</v>
      </c>
      <c r="Q888">
        <f t="shared" si="77"/>
        <v>99</v>
      </c>
      <c r="R888">
        <f t="shared" si="77"/>
        <v>104</v>
      </c>
      <c r="S888">
        <f t="shared" si="77"/>
        <v>101</v>
      </c>
      <c r="T888">
        <f t="shared" si="77"/>
        <v>109</v>
      </c>
      <c r="U888">
        <f t="shared" si="77"/>
        <v>46</v>
      </c>
      <c r="V888">
        <f t="shared" si="77"/>
        <v>104</v>
      </c>
      <c r="W888" s="5">
        <f t="shared" si="78"/>
        <v>845</v>
      </c>
      <c r="X888" s="9" t="str">
        <f t="shared" si="79"/>
        <v>o845</v>
      </c>
    </row>
    <row r="889" spans="1:24" x14ac:dyDescent="0.2">
      <c r="A889" s="9" t="s">
        <v>425</v>
      </c>
      <c r="B889" s="9">
        <v>1</v>
      </c>
      <c r="C889" s="22">
        <v>14</v>
      </c>
      <c r="D889" s="25"/>
      <c r="E889" s="23">
        <v>45264</v>
      </c>
      <c r="F889" s="23" t="s">
        <v>362</v>
      </c>
      <c r="G889" s="25" t="s">
        <v>35</v>
      </c>
      <c r="H889" s="24">
        <v>1</v>
      </c>
      <c r="I889" s="25" t="s">
        <v>260</v>
      </c>
      <c r="J889" s="32">
        <v>45238</v>
      </c>
      <c r="K889" s="24">
        <v>0.9</v>
      </c>
      <c r="L889" s="25">
        <f t="shared" si="75"/>
        <v>704</v>
      </c>
      <c r="M889" s="4">
        <f>IF(Table3[[#This Row],[Afrondingsdatum YB]]="N/A","-",Table3[[#This Row],[Afrondingsdatum YB]]-Table3[[#This Row],[StartDatum]])</f>
        <v>45238</v>
      </c>
      <c r="N889" s="4"/>
      <c r="O889">
        <f t="shared" si="76"/>
        <v>106</v>
      </c>
      <c r="P889">
        <f t="shared" si="76"/>
        <v>111</v>
      </c>
      <c r="Q889">
        <f t="shared" si="76"/>
        <v>114</v>
      </c>
      <c r="R889">
        <f t="shared" si="76"/>
        <v>105</v>
      </c>
      <c r="S889">
        <f t="shared" si="76"/>
        <v>115</v>
      </c>
      <c r="T889">
        <f t="shared" si="76"/>
        <v>46</v>
      </c>
      <c r="U889">
        <f t="shared" si="76"/>
        <v>107</v>
      </c>
      <c r="V889">
        <f t="shared" si="76"/>
        <v>111</v>
      </c>
      <c r="W889" s="5">
        <f t="shared" si="78"/>
        <v>909</v>
      </c>
      <c r="X889" s="9" t="str">
        <f t="shared" si="79"/>
        <v>o909</v>
      </c>
    </row>
    <row r="890" spans="1:24" x14ac:dyDescent="0.2">
      <c r="A890" s="9" t="s">
        <v>425</v>
      </c>
      <c r="B890" s="9">
        <v>1</v>
      </c>
      <c r="C890" s="22">
        <v>14</v>
      </c>
      <c r="D890" s="25"/>
      <c r="E890" s="23">
        <v>45264</v>
      </c>
      <c r="F890" s="18" t="s">
        <v>364</v>
      </c>
      <c r="G890" s="20" t="s">
        <v>36</v>
      </c>
      <c r="H890" s="19">
        <v>1</v>
      </c>
      <c r="I890" s="20" t="s">
        <v>179</v>
      </c>
      <c r="J890" s="34">
        <v>45236</v>
      </c>
      <c r="K890" s="19">
        <v>0.8</v>
      </c>
      <c r="L890" s="20">
        <f t="shared" si="75"/>
        <v>657</v>
      </c>
      <c r="M890" s="4">
        <f>IF(Table3[[#This Row],[Afrondingsdatum YB]]="N/A","-",Table3[[#This Row],[Afrondingsdatum YB]]-Table3[[#This Row],[StartDatum]])</f>
        <v>45236</v>
      </c>
      <c r="N890" s="4"/>
      <c r="O890">
        <f t="shared" si="76"/>
        <v>74</v>
      </c>
      <c r="P890">
        <f t="shared" si="76"/>
        <v>117</v>
      </c>
      <c r="Q890">
        <f t="shared" si="76"/>
        <v>108</v>
      </c>
      <c r="R890">
        <f t="shared" si="76"/>
        <v>105</v>
      </c>
      <c r="S890">
        <f t="shared" si="76"/>
        <v>97</v>
      </c>
      <c r="T890">
        <f t="shared" si="76"/>
        <v>110</v>
      </c>
      <c r="U890">
        <f t="shared" si="76"/>
        <v>46</v>
      </c>
      <c r="V890">
        <f t="shared" si="76"/>
        <v>68</v>
      </c>
      <c r="W890" s="5">
        <f t="shared" si="78"/>
        <v>804</v>
      </c>
      <c r="X890" s="9" t="str">
        <f t="shared" si="79"/>
        <v>u804</v>
      </c>
    </row>
    <row r="891" spans="1:24" x14ac:dyDescent="0.2">
      <c r="A891" s="9" t="s">
        <v>425</v>
      </c>
      <c r="B891" s="9">
        <v>1</v>
      </c>
      <c r="C891" s="22">
        <v>14</v>
      </c>
      <c r="D891" s="25"/>
      <c r="E891" s="23">
        <v>45264</v>
      </c>
      <c r="F891" s="23" t="s">
        <v>363</v>
      </c>
      <c r="G891" s="25" t="s">
        <v>37</v>
      </c>
      <c r="H891" s="24">
        <v>1</v>
      </c>
      <c r="I891" s="25" t="s">
        <v>207</v>
      </c>
      <c r="J891" s="32">
        <v>45228</v>
      </c>
      <c r="K891" s="24">
        <v>0.8</v>
      </c>
      <c r="L891" s="25">
        <f t="shared" si="75"/>
        <v>689</v>
      </c>
      <c r="M891" s="4">
        <f>IF(Table3[[#This Row],[Afrondingsdatum YB]]="N/A","-",Table3[[#This Row],[Afrondingsdatum YB]]-Table3[[#This Row],[StartDatum]])</f>
        <v>45228</v>
      </c>
      <c r="N891" s="4"/>
      <c r="O891">
        <f t="shared" si="76"/>
        <v>106</v>
      </c>
      <c r="P891">
        <f t="shared" si="76"/>
        <v>117</v>
      </c>
      <c r="Q891">
        <f t="shared" si="76"/>
        <v>108</v>
      </c>
      <c r="R891">
        <f t="shared" si="76"/>
        <v>105</v>
      </c>
      <c r="S891">
        <f t="shared" si="76"/>
        <v>97</v>
      </c>
      <c r="T891">
        <f t="shared" si="76"/>
        <v>110</v>
      </c>
      <c r="U891">
        <f t="shared" si="76"/>
        <v>46</v>
      </c>
      <c r="V891">
        <f t="shared" si="76"/>
        <v>118</v>
      </c>
      <c r="W891" s="5">
        <f t="shared" si="78"/>
        <v>886</v>
      </c>
      <c r="X891" s="9" t="str">
        <f t="shared" si="79"/>
        <v>u886</v>
      </c>
    </row>
    <row r="892" spans="1:24" x14ac:dyDescent="0.2">
      <c r="A892" s="9" t="s">
        <v>425</v>
      </c>
      <c r="B892" s="9">
        <v>1</v>
      </c>
      <c r="C892" s="22">
        <v>14</v>
      </c>
      <c r="D892" s="25"/>
      <c r="E892" s="23">
        <v>45264</v>
      </c>
      <c r="F892" s="18" t="s">
        <v>363</v>
      </c>
      <c r="G892" s="20" t="s">
        <v>38</v>
      </c>
      <c r="H892" s="19">
        <v>1</v>
      </c>
      <c r="I892" s="20" t="s">
        <v>208</v>
      </c>
      <c r="J892" s="34">
        <v>45223</v>
      </c>
      <c r="K892" s="19">
        <v>0.8</v>
      </c>
      <c r="L892" s="20">
        <f t="shared" si="75"/>
        <v>671</v>
      </c>
      <c r="M892" s="4">
        <f>IF(Table3[[#This Row],[Afrondingsdatum YB]]="N/A","-",Table3[[#This Row],[Afrondingsdatum YB]]-Table3[[#This Row],[StartDatum]])</f>
        <v>45223</v>
      </c>
      <c r="N892" s="4"/>
      <c r="O892">
        <f t="shared" si="76"/>
        <v>107</v>
      </c>
      <c r="P892">
        <f t="shared" si="76"/>
        <v>97</v>
      </c>
      <c r="Q892">
        <f t="shared" si="76"/>
        <v>105</v>
      </c>
      <c r="R892">
        <f t="shared" si="76"/>
        <v>46</v>
      </c>
      <c r="S892">
        <f t="shared" si="76"/>
        <v>104</v>
      </c>
      <c r="T892">
        <f t="shared" si="76"/>
        <v>97</v>
      </c>
      <c r="U892">
        <f t="shared" si="76"/>
        <v>115</v>
      </c>
      <c r="V892">
        <f t="shared" si="76"/>
        <v>115</v>
      </c>
      <c r="W892" s="5">
        <f t="shared" si="78"/>
        <v>913</v>
      </c>
      <c r="X892" s="9" t="str">
        <f t="shared" si="79"/>
        <v>a913</v>
      </c>
    </row>
    <row r="893" spans="1:24" x14ac:dyDescent="0.2">
      <c r="A893" s="9" t="s">
        <v>425</v>
      </c>
      <c r="B893" s="9">
        <v>1</v>
      </c>
      <c r="C893" s="22">
        <v>14</v>
      </c>
      <c r="D893" s="25"/>
      <c r="E893" s="23">
        <v>45264</v>
      </c>
      <c r="F893" s="23" t="s">
        <v>362</v>
      </c>
      <c r="G893" s="25" t="s">
        <v>261</v>
      </c>
      <c r="H893" s="24">
        <v>1</v>
      </c>
      <c r="I893" s="25" t="s">
        <v>105</v>
      </c>
      <c r="J893" s="32">
        <v>45239</v>
      </c>
      <c r="K893" s="24">
        <v>0.73</v>
      </c>
      <c r="L893" s="25">
        <f t="shared" si="75"/>
        <v>679</v>
      </c>
      <c r="M893" s="4">
        <f>IF(Table3[[#This Row],[Afrondingsdatum YB]]="N/A","-",Table3[[#This Row],[Afrondingsdatum YB]]-Table3[[#This Row],[StartDatum]])</f>
        <v>45239</v>
      </c>
      <c r="N893" s="4"/>
      <c r="O893">
        <f t="shared" si="76"/>
        <v>107</v>
      </c>
      <c r="P893">
        <f t="shared" si="76"/>
        <v>101</v>
      </c>
      <c r="Q893">
        <f t="shared" si="76"/>
        <v>101</v>
      </c>
      <c r="R893">
        <f t="shared" si="76"/>
        <v>115</v>
      </c>
      <c r="S893">
        <f t="shared" si="76"/>
        <v>46</v>
      </c>
      <c r="T893">
        <f t="shared" si="76"/>
        <v>98</v>
      </c>
      <c r="U893">
        <f t="shared" si="76"/>
        <v>111</v>
      </c>
      <c r="V893">
        <f t="shared" si="76"/>
        <v>110</v>
      </c>
      <c r="W893" s="5">
        <f t="shared" si="78"/>
        <v>854</v>
      </c>
      <c r="X893" s="9" t="str">
        <f t="shared" si="79"/>
        <v>e854</v>
      </c>
    </row>
    <row r="894" spans="1:24" x14ac:dyDescent="0.2">
      <c r="A894" s="9" t="s">
        <v>425</v>
      </c>
      <c r="B894" s="9">
        <v>1</v>
      </c>
      <c r="C894" s="22">
        <v>14</v>
      </c>
      <c r="D894" s="25"/>
      <c r="E894" s="23">
        <v>45264</v>
      </c>
      <c r="F894" s="18" t="s">
        <v>362</v>
      </c>
      <c r="G894" s="20" t="s">
        <v>39</v>
      </c>
      <c r="H894" s="19">
        <v>1</v>
      </c>
      <c r="I894" s="20" t="s">
        <v>226</v>
      </c>
      <c r="J894" s="34">
        <v>45226</v>
      </c>
      <c r="K894" s="19">
        <v>0.75</v>
      </c>
      <c r="L894" s="20">
        <f t="shared" si="75"/>
        <v>673</v>
      </c>
      <c r="M894" s="4">
        <f>IF(Table3[[#This Row],[Afrondingsdatum YB]]="N/A","-",Table3[[#This Row],[Afrondingsdatum YB]]-Table3[[#This Row],[StartDatum]])</f>
        <v>45226</v>
      </c>
      <c r="N894" s="4"/>
      <c r="O894">
        <f t="shared" si="76"/>
        <v>107</v>
      </c>
      <c r="P894">
        <f t="shared" si="76"/>
        <v>101</v>
      </c>
      <c r="Q894">
        <f t="shared" si="76"/>
        <v>110</v>
      </c>
      <c r="R894">
        <f t="shared" si="76"/>
        <v>97</v>
      </c>
      <c r="S894">
        <f t="shared" si="76"/>
        <v>110</v>
      </c>
      <c r="T894">
        <f t="shared" si="76"/>
        <v>46</v>
      </c>
      <c r="U894">
        <f t="shared" si="76"/>
        <v>102</v>
      </c>
      <c r="V894">
        <f t="shared" si="76"/>
        <v>108</v>
      </c>
      <c r="W894" s="5">
        <f t="shared" si="78"/>
        <v>878</v>
      </c>
      <c r="X894" s="9" t="str">
        <f t="shared" si="79"/>
        <v>e878</v>
      </c>
    </row>
    <row r="895" spans="1:24" x14ac:dyDescent="0.2">
      <c r="A895" s="9" t="s">
        <v>425</v>
      </c>
      <c r="B895" s="9">
        <v>1</v>
      </c>
      <c r="C895" s="22">
        <v>14</v>
      </c>
      <c r="D895" s="25"/>
      <c r="E895" s="23">
        <v>45264</v>
      </c>
      <c r="F895" s="23" t="s">
        <v>363</v>
      </c>
      <c r="G895" s="25" t="s">
        <v>40</v>
      </c>
      <c r="H895" s="24">
        <v>1</v>
      </c>
      <c r="I895" s="25" t="s">
        <v>227</v>
      </c>
      <c r="J895" s="32">
        <v>45225</v>
      </c>
      <c r="K895" s="24">
        <v>0.85</v>
      </c>
      <c r="L895" s="25">
        <f t="shared" si="75"/>
        <v>685</v>
      </c>
      <c r="M895" s="4">
        <f>IF(Table3[[#This Row],[Afrondingsdatum YB]]="N/A","-",Table3[[#This Row],[Afrondingsdatum YB]]-Table3[[#This Row],[StartDatum]])</f>
        <v>45225</v>
      </c>
      <c r="N895" s="4"/>
      <c r="O895">
        <f t="shared" si="76"/>
        <v>107</v>
      </c>
      <c r="P895">
        <f t="shared" si="76"/>
        <v>101</v>
      </c>
      <c r="Q895">
        <f t="shared" si="76"/>
        <v>118</v>
      </c>
      <c r="R895">
        <f t="shared" si="76"/>
        <v>105</v>
      </c>
      <c r="S895">
        <f t="shared" si="76"/>
        <v>110</v>
      </c>
      <c r="T895">
        <f t="shared" si="76"/>
        <v>46</v>
      </c>
      <c r="U895">
        <f t="shared" si="76"/>
        <v>98</v>
      </c>
      <c r="V895">
        <f t="shared" si="76"/>
        <v>97</v>
      </c>
      <c r="W895" s="5">
        <f t="shared" si="78"/>
        <v>889</v>
      </c>
      <c r="X895" s="9" t="str">
        <f t="shared" si="79"/>
        <v>e889</v>
      </c>
    </row>
    <row r="896" spans="1:24" x14ac:dyDescent="0.2">
      <c r="A896" s="9" t="s">
        <v>425</v>
      </c>
      <c r="B896" s="9">
        <v>1</v>
      </c>
      <c r="C896" s="22">
        <v>14</v>
      </c>
      <c r="D896" s="25"/>
      <c r="E896" s="23">
        <v>45264</v>
      </c>
      <c r="F896" s="18" t="s">
        <v>363</v>
      </c>
      <c r="G896" s="20" t="s">
        <v>41</v>
      </c>
      <c r="H896" s="19">
        <v>1</v>
      </c>
      <c r="I896" s="20" t="s">
        <v>121</v>
      </c>
      <c r="J896" s="34">
        <v>45218</v>
      </c>
      <c r="K896" s="19">
        <v>0.83</v>
      </c>
      <c r="L896" s="20">
        <f t="shared" si="75"/>
        <v>694</v>
      </c>
      <c r="M896" s="4">
        <f>IF(Table3[[#This Row],[Afrondingsdatum YB]]="N/A","-",Table3[[#This Row],[Afrondingsdatum YB]]-Table3[[#This Row],[StartDatum]])</f>
        <v>45218</v>
      </c>
      <c r="N896" s="4"/>
      <c r="O896">
        <f t="shared" si="76"/>
        <v>107</v>
      </c>
      <c r="P896">
        <f t="shared" si="76"/>
        <v>106</v>
      </c>
      <c r="Q896">
        <f t="shared" si="76"/>
        <v>101</v>
      </c>
      <c r="R896">
        <f t="shared" si="76"/>
        <v>108</v>
      </c>
      <c r="S896">
        <f t="shared" si="76"/>
        <v>108</v>
      </c>
      <c r="T896">
        <f t="shared" si="76"/>
        <v>46</v>
      </c>
      <c r="U896">
        <f t="shared" si="76"/>
        <v>118</v>
      </c>
      <c r="V896">
        <f t="shared" si="76"/>
        <v>97</v>
      </c>
      <c r="W896" s="5">
        <f t="shared" si="78"/>
        <v>859</v>
      </c>
      <c r="X896" s="9" t="str">
        <f t="shared" si="79"/>
        <v>j859</v>
      </c>
    </row>
    <row r="897" spans="1:24" x14ac:dyDescent="0.2">
      <c r="A897" s="9" t="s">
        <v>425</v>
      </c>
      <c r="B897" s="9">
        <v>1</v>
      </c>
      <c r="C897" s="22">
        <v>14</v>
      </c>
      <c r="D897" s="25"/>
      <c r="E897" s="23">
        <v>45264</v>
      </c>
      <c r="F897" s="23" t="s">
        <v>362</v>
      </c>
      <c r="G897" s="25" t="s">
        <v>79</v>
      </c>
      <c r="H897" s="24">
        <v>1</v>
      </c>
      <c r="I897" s="25" t="s">
        <v>72</v>
      </c>
      <c r="J897" s="32">
        <v>45214</v>
      </c>
      <c r="K897" s="24">
        <v>0.7</v>
      </c>
      <c r="L897" s="25">
        <f t="shared" si="75"/>
        <v>679</v>
      </c>
      <c r="M897" s="4">
        <f>IF(Table3[[#This Row],[Afrondingsdatum YB]]="N/A","-",Table3[[#This Row],[Afrondingsdatum YB]]-Table3[[#This Row],[StartDatum]])</f>
        <v>45214</v>
      </c>
      <c r="N897" s="4"/>
      <c r="O897">
        <f t="shared" si="76"/>
        <v>108</v>
      </c>
      <c r="P897">
        <f t="shared" si="76"/>
        <v>97</v>
      </c>
      <c r="Q897">
        <f t="shared" si="76"/>
        <v>109</v>
      </c>
      <c r="R897">
        <f t="shared" si="76"/>
        <v>121</v>
      </c>
      <c r="S897">
        <f t="shared" si="76"/>
        <v>97</v>
      </c>
      <c r="T897">
        <f t="shared" si="76"/>
        <v>101</v>
      </c>
      <c r="U897">
        <f t="shared" si="76"/>
        <v>46</v>
      </c>
      <c r="V897">
        <f t="shared" si="76"/>
        <v>101</v>
      </c>
      <c r="W897" s="5">
        <f t="shared" si="78"/>
        <v>859</v>
      </c>
      <c r="X897" s="9" t="str">
        <f t="shared" si="79"/>
        <v>a859</v>
      </c>
    </row>
    <row r="898" spans="1:24" x14ac:dyDescent="0.2">
      <c r="A898" s="9" t="s">
        <v>425</v>
      </c>
      <c r="B898" s="9">
        <v>1</v>
      </c>
      <c r="C898" s="22">
        <v>14</v>
      </c>
      <c r="D898" s="25"/>
      <c r="E898" s="23">
        <v>45264</v>
      </c>
      <c r="F898" s="18" t="s">
        <v>363</v>
      </c>
      <c r="G898" s="20" t="s">
        <v>42</v>
      </c>
      <c r="H898" s="19">
        <v>1</v>
      </c>
      <c r="I898" s="20" t="s">
        <v>121</v>
      </c>
      <c r="J898" s="34">
        <v>45227</v>
      </c>
      <c r="K898" s="19">
        <v>0.7</v>
      </c>
      <c r="L898" s="20">
        <f t="shared" ref="L898:L961" si="80">SUM(O898:U898)</f>
        <v>687</v>
      </c>
      <c r="M898" s="4">
        <f>IF(Table3[[#This Row],[Afrondingsdatum YB]]="N/A","-",Table3[[#This Row],[Afrondingsdatum YB]]-Table3[[#This Row],[StartDatum]])</f>
        <v>45227</v>
      </c>
      <c r="N898" s="4"/>
      <c r="O898">
        <f t="shared" si="76"/>
        <v>108</v>
      </c>
      <c r="P898">
        <f t="shared" si="76"/>
        <v>105</v>
      </c>
      <c r="Q898">
        <f t="shared" si="76"/>
        <v>110</v>
      </c>
      <c r="R898">
        <f t="shared" si="76"/>
        <v>100</v>
      </c>
      <c r="S898">
        <f t="shared" si="76"/>
        <v>121</v>
      </c>
      <c r="T898">
        <f t="shared" si="76"/>
        <v>46</v>
      </c>
      <c r="U898">
        <f t="shared" si="76"/>
        <v>97</v>
      </c>
      <c r="V898">
        <f t="shared" si="76"/>
        <v>110</v>
      </c>
      <c r="W898" s="5">
        <f t="shared" si="78"/>
        <v>890</v>
      </c>
      <c r="X898" s="9" t="str">
        <f t="shared" si="79"/>
        <v>i890</v>
      </c>
    </row>
    <row r="899" spans="1:24" x14ac:dyDescent="0.2">
      <c r="A899" s="9" t="s">
        <v>425</v>
      </c>
      <c r="B899" s="9">
        <v>1</v>
      </c>
      <c r="C899" s="22">
        <v>14</v>
      </c>
      <c r="D899" s="25"/>
      <c r="E899" s="23">
        <v>45264</v>
      </c>
      <c r="F899" s="23" t="s">
        <v>363</v>
      </c>
      <c r="G899" s="25" t="s">
        <v>43</v>
      </c>
      <c r="H899" s="24">
        <v>1</v>
      </c>
      <c r="I899" s="25" t="s">
        <v>262</v>
      </c>
      <c r="J899" s="25" t="s">
        <v>7</v>
      </c>
      <c r="K899" s="25" t="s">
        <v>9</v>
      </c>
      <c r="L899" s="25">
        <f t="shared" si="80"/>
        <v>689</v>
      </c>
      <c r="M899" s="4" t="str">
        <f>IF(Table3[[#This Row],[Afrondingsdatum YB]]="N/A","-",Table3[[#This Row],[Afrondingsdatum YB]]-Table3[[#This Row],[StartDatum]])</f>
        <v>-</v>
      </c>
      <c r="N899" s="4"/>
      <c r="O899">
        <f t="shared" ref="O899:V930" si="81">CODE(MID($G899,O$1,1))</f>
        <v>108</v>
      </c>
      <c r="P899">
        <f t="shared" si="81"/>
        <v>117</v>
      </c>
      <c r="Q899">
        <f t="shared" si="81"/>
        <v>99</v>
      </c>
      <c r="R899">
        <f t="shared" si="81"/>
        <v>46</v>
      </c>
      <c r="S899">
        <f t="shared" si="81"/>
        <v>98</v>
      </c>
      <c r="T899">
        <f t="shared" si="81"/>
        <v>111</v>
      </c>
      <c r="U899">
        <f t="shared" si="81"/>
        <v>110</v>
      </c>
      <c r="V899">
        <f t="shared" si="81"/>
        <v>100</v>
      </c>
      <c r="W899" s="5">
        <f t="shared" si="78"/>
        <v>894</v>
      </c>
      <c r="X899" s="9" t="str">
        <f t="shared" si="79"/>
        <v>u894</v>
      </c>
    </row>
    <row r="900" spans="1:24" x14ac:dyDescent="0.2">
      <c r="A900" s="9" t="s">
        <v>425</v>
      </c>
      <c r="B900" s="9">
        <v>1</v>
      </c>
      <c r="C900" s="22">
        <v>14</v>
      </c>
      <c r="D900" s="25"/>
      <c r="E900" s="23">
        <v>45264</v>
      </c>
      <c r="F900" s="18" t="s">
        <v>364</v>
      </c>
      <c r="G900" s="20" t="s">
        <v>44</v>
      </c>
      <c r="H900" s="19">
        <v>1</v>
      </c>
      <c r="I900" s="20" t="s">
        <v>102</v>
      </c>
      <c r="J900" s="34">
        <v>45217</v>
      </c>
      <c r="K900" s="19">
        <v>0.73</v>
      </c>
      <c r="L900" s="20">
        <f t="shared" si="80"/>
        <v>680</v>
      </c>
      <c r="M900" s="4">
        <f>IF(Table3[[#This Row],[Afrondingsdatum YB]]="N/A","-",Table3[[#This Row],[Afrondingsdatum YB]]-Table3[[#This Row],[StartDatum]])</f>
        <v>45217</v>
      </c>
      <c r="N900" s="4"/>
      <c r="O900">
        <f t="shared" si="81"/>
        <v>108</v>
      </c>
      <c r="P900">
        <f t="shared" si="81"/>
        <v>117</v>
      </c>
      <c r="Q900">
        <f t="shared" si="81"/>
        <v>99</v>
      </c>
      <c r="R900">
        <f t="shared" si="81"/>
        <v>97</v>
      </c>
      <c r="S900">
        <f t="shared" si="81"/>
        <v>115</v>
      </c>
      <c r="T900">
        <f t="shared" si="81"/>
        <v>46</v>
      </c>
      <c r="U900">
        <f t="shared" si="81"/>
        <v>98</v>
      </c>
      <c r="V900">
        <f t="shared" si="81"/>
        <v>114</v>
      </c>
      <c r="W900" s="5">
        <f t="shared" si="78"/>
        <v>861</v>
      </c>
      <c r="X900" s="9" t="str">
        <f t="shared" si="79"/>
        <v>u861</v>
      </c>
    </row>
    <row r="901" spans="1:24" x14ac:dyDescent="0.2">
      <c r="A901" s="9" t="s">
        <v>425</v>
      </c>
      <c r="B901" s="9">
        <v>1</v>
      </c>
      <c r="C901" s="22">
        <v>14</v>
      </c>
      <c r="D901" s="25"/>
      <c r="E901" s="23">
        <v>45264</v>
      </c>
      <c r="F901" s="23" t="s">
        <v>363</v>
      </c>
      <c r="G901" s="25" t="s">
        <v>81</v>
      </c>
      <c r="H901" s="24">
        <v>1</v>
      </c>
      <c r="I901" s="25" t="s">
        <v>229</v>
      </c>
      <c r="J901" s="32">
        <v>45228</v>
      </c>
      <c r="K901" s="24">
        <v>0.7</v>
      </c>
      <c r="L901" s="25">
        <f t="shared" si="80"/>
        <v>668</v>
      </c>
      <c r="M901" s="4">
        <f>IF(Table3[[#This Row],[Afrondingsdatum YB]]="N/A","-",Table3[[#This Row],[Afrondingsdatum YB]]-Table3[[#This Row],[StartDatum]])</f>
        <v>45228</v>
      </c>
      <c r="N901" s="4"/>
      <c r="O901">
        <f t="shared" si="81"/>
        <v>76</v>
      </c>
      <c r="P901">
        <f t="shared" si="81"/>
        <v>117</v>
      </c>
      <c r="Q901">
        <f t="shared" si="81"/>
        <v>99</v>
      </c>
      <c r="R901">
        <f t="shared" si="81"/>
        <v>97</v>
      </c>
      <c r="S901">
        <f t="shared" si="81"/>
        <v>115</v>
      </c>
      <c r="T901">
        <f t="shared" si="81"/>
        <v>46</v>
      </c>
      <c r="U901">
        <f t="shared" si="81"/>
        <v>118</v>
      </c>
      <c r="V901">
        <f t="shared" si="81"/>
        <v>97</v>
      </c>
      <c r="W901" s="5">
        <f t="shared" si="78"/>
        <v>832</v>
      </c>
      <c r="X901" s="9" t="str">
        <f t="shared" si="79"/>
        <v>u832</v>
      </c>
    </row>
    <row r="902" spans="1:24" x14ac:dyDescent="0.2">
      <c r="A902" s="9" t="s">
        <v>425</v>
      </c>
      <c r="B902" s="9">
        <v>1</v>
      </c>
      <c r="C902" s="22">
        <v>14</v>
      </c>
      <c r="D902" s="25"/>
      <c r="E902" s="23">
        <v>45264</v>
      </c>
      <c r="F902" s="18" t="s">
        <v>364</v>
      </c>
      <c r="G902" s="20" t="s">
        <v>45</v>
      </c>
      <c r="H902" s="19">
        <v>1</v>
      </c>
      <c r="I902" s="20" t="s">
        <v>146</v>
      </c>
      <c r="J902" s="34">
        <v>45238</v>
      </c>
      <c r="K902" s="19">
        <v>0.85</v>
      </c>
      <c r="L902" s="20">
        <f t="shared" si="80"/>
        <v>757</v>
      </c>
      <c r="M902" s="4">
        <f>IF(Table3[[#This Row],[Afrondingsdatum YB]]="N/A","-",Table3[[#This Row],[Afrondingsdatum YB]]-Table3[[#This Row],[StartDatum]])</f>
        <v>45238</v>
      </c>
      <c r="N902" s="4"/>
      <c r="O902">
        <f t="shared" si="81"/>
        <v>109</v>
      </c>
      <c r="P902">
        <f t="shared" si="81"/>
        <v>97</v>
      </c>
      <c r="Q902">
        <f t="shared" si="81"/>
        <v>114</v>
      </c>
      <c r="R902">
        <f t="shared" si="81"/>
        <v>116</v>
      </c>
      <c r="S902">
        <f t="shared" si="81"/>
        <v>105</v>
      </c>
      <c r="T902">
        <f t="shared" si="81"/>
        <v>106</v>
      </c>
      <c r="U902">
        <f t="shared" si="81"/>
        <v>110</v>
      </c>
      <c r="V902">
        <f t="shared" si="81"/>
        <v>46</v>
      </c>
      <c r="W902" s="5">
        <f t="shared" si="78"/>
        <v>896</v>
      </c>
      <c r="X902" s="9" t="str">
        <f t="shared" si="79"/>
        <v>a896</v>
      </c>
    </row>
    <row r="903" spans="1:24" x14ac:dyDescent="0.2">
      <c r="A903" s="9" t="s">
        <v>425</v>
      </c>
      <c r="B903" s="9">
        <v>1</v>
      </c>
      <c r="C903" s="22">
        <v>14</v>
      </c>
      <c r="D903" s="25"/>
      <c r="E903" s="23">
        <v>45264</v>
      </c>
      <c r="F903" s="23" t="s">
        <v>364</v>
      </c>
      <c r="G903" s="25" t="s">
        <v>46</v>
      </c>
      <c r="H903" s="24">
        <v>1</v>
      </c>
      <c r="I903" s="25" t="s">
        <v>210</v>
      </c>
      <c r="J903" s="32">
        <v>45217</v>
      </c>
      <c r="K903" s="24">
        <v>0.85</v>
      </c>
      <c r="L903" s="25">
        <f t="shared" si="80"/>
        <v>682</v>
      </c>
      <c r="M903" s="4">
        <f>IF(Table3[[#This Row],[Afrondingsdatum YB]]="N/A","-",Table3[[#This Row],[Afrondingsdatum YB]]-Table3[[#This Row],[StartDatum]])</f>
        <v>45217</v>
      </c>
      <c r="N903" s="4"/>
      <c r="O903">
        <f t="shared" si="81"/>
        <v>109</v>
      </c>
      <c r="P903">
        <f t="shared" si="81"/>
        <v>97</v>
      </c>
      <c r="Q903">
        <f t="shared" si="81"/>
        <v>114</v>
      </c>
      <c r="R903">
        <f t="shared" si="81"/>
        <v>119</v>
      </c>
      <c r="S903">
        <f t="shared" si="81"/>
        <v>97</v>
      </c>
      <c r="T903">
        <f t="shared" si="81"/>
        <v>46</v>
      </c>
      <c r="U903">
        <f t="shared" si="81"/>
        <v>100</v>
      </c>
      <c r="V903">
        <f t="shared" si="81"/>
        <v>97</v>
      </c>
      <c r="W903" s="5">
        <f t="shared" si="78"/>
        <v>869</v>
      </c>
      <c r="X903" s="9" t="str">
        <f t="shared" si="79"/>
        <v>a869</v>
      </c>
    </row>
    <row r="904" spans="1:24" x14ac:dyDescent="0.2">
      <c r="A904" s="9" t="s">
        <v>425</v>
      </c>
      <c r="B904" s="9">
        <v>1</v>
      </c>
      <c r="C904" s="22">
        <v>14</v>
      </c>
      <c r="D904" s="25"/>
      <c r="E904" s="23">
        <v>45264</v>
      </c>
      <c r="F904" s="18" t="s">
        <v>362</v>
      </c>
      <c r="G904" s="20" t="s">
        <v>245</v>
      </c>
      <c r="H904" s="19">
        <v>0.88</v>
      </c>
      <c r="I904" s="20" t="s">
        <v>276</v>
      </c>
      <c r="J904" s="20" t="s">
        <v>7</v>
      </c>
      <c r="K904" s="20" t="s">
        <v>9</v>
      </c>
      <c r="L904" s="20">
        <f t="shared" si="80"/>
        <v>692</v>
      </c>
      <c r="M904" s="4" t="str">
        <f>IF(Table3[[#This Row],[Afrondingsdatum YB]]="N/A","-",Table3[[#This Row],[Afrondingsdatum YB]]-Table3[[#This Row],[StartDatum]])</f>
        <v>-</v>
      </c>
      <c r="N904" s="4"/>
      <c r="O904">
        <f t="shared" si="81"/>
        <v>109</v>
      </c>
      <c r="P904">
        <f t="shared" si="81"/>
        <v>97</v>
      </c>
      <c r="Q904">
        <f t="shared" si="81"/>
        <v>114</v>
      </c>
      <c r="R904">
        <f t="shared" si="81"/>
        <v>119</v>
      </c>
      <c r="S904">
        <f t="shared" si="81"/>
        <v>97</v>
      </c>
      <c r="T904">
        <f t="shared" si="81"/>
        <v>110</v>
      </c>
      <c r="U904">
        <f t="shared" si="81"/>
        <v>46</v>
      </c>
      <c r="V904">
        <f t="shared" si="81"/>
        <v>97</v>
      </c>
      <c r="W904" s="5">
        <f t="shared" si="78"/>
        <v>879</v>
      </c>
      <c r="X904" s="9" t="str">
        <f t="shared" si="79"/>
        <v>a879</v>
      </c>
    </row>
    <row r="905" spans="1:24" x14ac:dyDescent="0.2">
      <c r="A905" s="9" t="s">
        <v>425</v>
      </c>
      <c r="B905" s="9">
        <v>1</v>
      </c>
      <c r="C905" s="22">
        <v>14</v>
      </c>
      <c r="D905" s="25"/>
      <c r="E905" s="23">
        <v>45264</v>
      </c>
      <c r="F905" s="23" t="s">
        <v>364</v>
      </c>
      <c r="G905" s="25" t="s">
        <v>47</v>
      </c>
      <c r="H905" s="24">
        <v>1</v>
      </c>
      <c r="I905" s="25" t="s">
        <v>273</v>
      </c>
      <c r="J905" s="32">
        <v>45248</v>
      </c>
      <c r="K905" s="24">
        <v>0.78</v>
      </c>
      <c r="L905" s="25">
        <f t="shared" si="80"/>
        <v>673</v>
      </c>
      <c r="M905" s="4">
        <f>IF(Table3[[#This Row],[Afrondingsdatum YB]]="N/A","-",Table3[[#This Row],[Afrondingsdatum YB]]-Table3[[#This Row],[StartDatum]])</f>
        <v>45248</v>
      </c>
      <c r="N905" s="4"/>
      <c r="O905">
        <f t="shared" si="81"/>
        <v>109</v>
      </c>
      <c r="P905">
        <f t="shared" si="81"/>
        <v>101</v>
      </c>
      <c r="Q905">
        <f t="shared" si="81"/>
        <v>101</v>
      </c>
      <c r="R905">
        <f t="shared" si="81"/>
        <v>115</v>
      </c>
      <c r="S905">
        <f t="shared" si="81"/>
        <v>46</v>
      </c>
      <c r="T905">
        <f t="shared" si="81"/>
        <v>100</v>
      </c>
      <c r="U905">
        <f t="shared" si="81"/>
        <v>101</v>
      </c>
      <c r="V905">
        <f t="shared" si="81"/>
        <v>46</v>
      </c>
      <c r="W905" s="5">
        <f t="shared" si="78"/>
        <v>784</v>
      </c>
      <c r="X905" s="9" t="str">
        <f t="shared" si="79"/>
        <v>e784</v>
      </c>
    </row>
    <row r="906" spans="1:24" x14ac:dyDescent="0.2">
      <c r="A906" s="9" t="s">
        <v>425</v>
      </c>
      <c r="B906" s="9">
        <v>1</v>
      </c>
      <c r="C906" s="22">
        <v>14</v>
      </c>
      <c r="D906" s="25"/>
      <c r="E906" s="23">
        <v>45264</v>
      </c>
      <c r="F906" s="18" t="s">
        <v>363</v>
      </c>
      <c r="G906" s="20" t="s">
        <v>48</v>
      </c>
      <c r="H906" s="19">
        <v>1</v>
      </c>
      <c r="I906" s="20" t="s">
        <v>189</v>
      </c>
      <c r="J906" s="34">
        <v>45226</v>
      </c>
      <c r="K906" s="19">
        <v>0.8</v>
      </c>
      <c r="L906" s="20">
        <f t="shared" si="80"/>
        <v>675</v>
      </c>
      <c r="M906" s="4">
        <f>IF(Table3[[#This Row],[Afrondingsdatum YB]]="N/A","-",Table3[[#This Row],[Afrondingsdatum YB]]-Table3[[#This Row],[StartDatum]])</f>
        <v>45226</v>
      </c>
      <c r="N906" s="4"/>
      <c r="O906">
        <f t="shared" si="81"/>
        <v>109</v>
      </c>
      <c r="P906">
        <f t="shared" si="81"/>
        <v>105</v>
      </c>
      <c r="Q906">
        <f t="shared" si="81"/>
        <v>108</v>
      </c>
      <c r="R906">
        <f t="shared" si="81"/>
        <v>97</v>
      </c>
      <c r="S906">
        <f t="shared" si="81"/>
        <v>110</v>
      </c>
      <c r="T906">
        <f t="shared" si="81"/>
        <v>46</v>
      </c>
      <c r="U906">
        <f t="shared" si="81"/>
        <v>100</v>
      </c>
      <c r="V906">
        <f t="shared" si="81"/>
        <v>105</v>
      </c>
      <c r="W906" s="5">
        <f t="shared" si="78"/>
        <v>871</v>
      </c>
      <c r="X906" s="9" t="str">
        <f t="shared" si="79"/>
        <v>i871</v>
      </c>
    </row>
    <row r="907" spans="1:24" x14ac:dyDescent="0.2">
      <c r="A907" s="9" t="s">
        <v>425</v>
      </c>
      <c r="B907" s="9">
        <v>1</v>
      </c>
      <c r="C907" s="22">
        <v>14</v>
      </c>
      <c r="D907" s="25"/>
      <c r="E907" s="23">
        <v>45264</v>
      </c>
      <c r="F907" s="23" t="s">
        <v>364</v>
      </c>
      <c r="G907" s="25" t="s">
        <v>49</v>
      </c>
      <c r="H907" s="24">
        <v>1</v>
      </c>
      <c r="I907" s="25" t="s">
        <v>211</v>
      </c>
      <c r="J907" s="32">
        <v>45217</v>
      </c>
      <c r="K907" s="24">
        <v>0.73</v>
      </c>
      <c r="L907" s="25">
        <f t="shared" si="80"/>
        <v>690</v>
      </c>
      <c r="M907" s="4">
        <f>IF(Table3[[#This Row],[Afrondingsdatum YB]]="N/A","-",Table3[[#This Row],[Afrondingsdatum YB]]-Table3[[#This Row],[StartDatum]])</f>
        <v>45217</v>
      </c>
      <c r="N907" s="4"/>
      <c r="O907">
        <f t="shared" si="81"/>
        <v>109</v>
      </c>
      <c r="P907">
        <f t="shared" si="81"/>
        <v>105</v>
      </c>
      <c r="Q907">
        <f t="shared" si="81"/>
        <v>114</v>
      </c>
      <c r="R907">
        <f t="shared" si="81"/>
        <v>110</v>
      </c>
      <c r="S907">
        <f t="shared" si="81"/>
        <v>97</v>
      </c>
      <c r="T907">
        <f t="shared" si="81"/>
        <v>46</v>
      </c>
      <c r="U907">
        <f t="shared" si="81"/>
        <v>109</v>
      </c>
      <c r="V907">
        <f t="shared" si="81"/>
        <v>111</v>
      </c>
      <c r="W907" s="5">
        <f t="shared" si="78"/>
        <v>894</v>
      </c>
      <c r="X907" s="9" t="str">
        <f t="shared" si="79"/>
        <v>i894</v>
      </c>
    </row>
    <row r="908" spans="1:24" x14ac:dyDescent="0.2">
      <c r="A908" s="9" t="s">
        <v>425</v>
      </c>
      <c r="B908" s="9">
        <v>1</v>
      </c>
      <c r="C908" s="22">
        <v>14</v>
      </c>
      <c r="D908" s="25"/>
      <c r="E908" s="23">
        <v>45264</v>
      </c>
      <c r="F908" s="18" t="s">
        <v>364</v>
      </c>
      <c r="G908" s="20" t="s">
        <v>50</v>
      </c>
      <c r="H908" s="19">
        <v>1</v>
      </c>
      <c r="I908" s="20" t="s">
        <v>212</v>
      </c>
      <c r="J908" s="34">
        <v>45217</v>
      </c>
      <c r="K908" s="19">
        <v>0.75</v>
      </c>
      <c r="L908" s="20">
        <f t="shared" si="80"/>
        <v>731</v>
      </c>
      <c r="M908" s="4">
        <f>IF(Table3[[#This Row],[Afrondingsdatum YB]]="N/A","-",Table3[[#This Row],[Afrondingsdatum YB]]-Table3[[#This Row],[StartDatum]])</f>
        <v>45217</v>
      </c>
      <c r="N908" s="4"/>
      <c r="O908">
        <f t="shared" si="81"/>
        <v>109</v>
      </c>
      <c r="P908">
        <f t="shared" si="81"/>
        <v>111</v>
      </c>
      <c r="Q908">
        <f t="shared" si="81"/>
        <v>104</v>
      </c>
      <c r="R908">
        <f t="shared" si="81"/>
        <v>97</v>
      </c>
      <c r="S908">
        <f t="shared" si="81"/>
        <v>109</v>
      </c>
      <c r="T908">
        <f t="shared" si="81"/>
        <v>101</v>
      </c>
      <c r="U908">
        <f t="shared" si="81"/>
        <v>100</v>
      </c>
      <c r="V908">
        <f t="shared" si="81"/>
        <v>46</v>
      </c>
      <c r="W908" s="5">
        <f t="shared" si="78"/>
        <v>857</v>
      </c>
      <c r="X908" s="9" t="str">
        <f t="shared" si="79"/>
        <v>o857</v>
      </c>
    </row>
    <row r="909" spans="1:24" x14ac:dyDescent="0.2">
      <c r="A909" s="9" t="s">
        <v>425</v>
      </c>
      <c r="B909" s="9">
        <v>1</v>
      </c>
      <c r="C909" s="22">
        <v>14</v>
      </c>
      <c r="D909" s="25"/>
      <c r="E909" s="23">
        <v>45264</v>
      </c>
      <c r="F909" s="23" t="s">
        <v>362</v>
      </c>
      <c r="G909" s="25" t="s">
        <v>127</v>
      </c>
      <c r="H909" s="24">
        <v>0.19</v>
      </c>
      <c r="I909" s="25" t="s">
        <v>111</v>
      </c>
      <c r="J909" s="25" t="s">
        <v>7</v>
      </c>
      <c r="K909" s="25" t="s">
        <v>9</v>
      </c>
      <c r="L909" s="25">
        <f t="shared" si="80"/>
        <v>758</v>
      </c>
      <c r="M909" s="4" t="str">
        <f>IF(Table3[[#This Row],[Afrondingsdatum YB]]="N/A","-",Table3[[#This Row],[Afrondingsdatum YB]]-Table3[[#This Row],[StartDatum]])</f>
        <v>-</v>
      </c>
      <c r="N909" s="4"/>
      <c r="O909">
        <f t="shared" si="81"/>
        <v>109</v>
      </c>
      <c r="P909">
        <f t="shared" si="81"/>
        <v>111</v>
      </c>
      <c r="Q909">
        <f t="shared" si="81"/>
        <v>107</v>
      </c>
      <c r="R909">
        <f t="shared" si="81"/>
        <v>104</v>
      </c>
      <c r="S909">
        <f t="shared" si="81"/>
        <v>116</v>
      </c>
      <c r="T909">
        <f t="shared" si="81"/>
        <v>97</v>
      </c>
      <c r="U909">
        <f t="shared" si="81"/>
        <v>114</v>
      </c>
      <c r="V909">
        <f t="shared" si="81"/>
        <v>46</v>
      </c>
      <c r="W909" s="5">
        <f t="shared" si="78"/>
        <v>885</v>
      </c>
      <c r="X909" s="9" t="str">
        <f t="shared" si="79"/>
        <v>o885</v>
      </c>
    </row>
    <row r="910" spans="1:24" x14ac:dyDescent="0.2">
      <c r="A910" s="9" t="s">
        <v>425</v>
      </c>
      <c r="B910" s="9">
        <v>1</v>
      </c>
      <c r="C910" s="22">
        <v>14</v>
      </c>
      <c r="D910" s="25"/>
      <c r="E910" s="23">
        <v>45264</v>
      </c>
      <c r="F910" s="18" t="s">
        <v>363</v>
      </c>
      <c r="G910" s="20" t="s">
        <v>51</v>
      </c>
      <c r="H910" s="19">
        <v>1</v>
      </c>
      <c r="I910" s="20" t="s">
        <v>231</v>
      </c>
      <c r="J910" s="34">
        <v>45228</v>
      </c>
      <c r="K910" s="19">
        <v>0.75</v>
      </c>
      <c r="L910" s="20">
        <f t="shared" si="80"/>
        <v>742</v>
      </c>
      <c r="M910" s="4">
        <f>IF(Table3[[#This Row],[Afrondingsdatum YB]]="N/A","-",Table3[[#This Row],[Afrondingsdatum YB]]-Table3[[#This Row],[StartDatum]])</f>
        <v>45228</v>
      </c>
      <c r="N910" s="4"/>
      <c r="O910">
        <f t="shared" si="81"/>
        <v>110</v>
      </c>
      <c r="P910">
        <f t="shared" si="81"/>
        <v>97</v>
      </c>
      <c r="Q910">
        <f t="shared" si="81"/>
        <v>111</v>
      </c>
      <c r="R910">
        <f t="shared" si="81"/>
        <v>117</v>
      </c>
      <c r="S910">
        <f t="shared" si="81"/>
        <v>102</v>
      </c>
      <c r="T910">
        <f t="shared" si="81"/>
        <v>97</v>
      </c>
      <c r="U910">
        <f t="shared" si="81"/>
        <v>108</v>
      </c>
      <c r="V910">
        <f t="shared" si="81"/>
        <v>46</v>
      </c>
      <c r="W910" s="5">
        <f t="shared" si="78"/>
        <v>874</v>
      </c>
      <c r="X910" s="9" t="str">
        <f t="shared" si="79"/>
        <v>a874</v>
      </c>
    </row>
    <row r="911" spans="1:24" x14ac:dyDescent="0.2">
      <c r="A911" s="9" t="s">
        <v>425</v>
      </c>
      <c r="B911" s="9">
        <v>1</v>
      </c>
      <c r="C911" s="22">
        <v>14</v>
      </c>
      <c r="D911" s="25"/>
      <c r="E911" s="23">
        <v>45264</v>
      </c>
      <c r="F911" s="23" t="s">
        <v>362</v>
      </c>
      <c r="G911" s="25" t="s">
        <v>52</v>
      </c>
      <c r="H911" s="24">
        <v>1</v>
      </c>
      <c r="I911" s="25" t="s">
        <v>145</v>
      </c>
      <c r="J911" s="32">
        <v>45238</v>
      </c>
      <c r="K911" s="24">
        <v>0.8</v>
      </c>
      <c r="L911" s="25">
        <f t="shared" si="80"/>
        <v>684</v>
      </c>
      <c r="M911" s="4">
        <f>IF(Table3[[#This Row],[Afrondingsdatum YB]]="N/A","-",Table3[[#This Row],[Afrondingsdatum YB]]-Table3[[#This Row],[StartDatum]])</f>
        <v>45238</v>
      </c>
      <c r="N911" s="4"/>
      <c r="O911">
        <f t="shared" si="81"/>
        <v>110</v>
      </c>
      <c r="P911">
        <f t="shared" si="81"/>
        <v>105</v>
      </c>
      <c r="Q911">
        <f t="shared" si="81"/>
        <v>99</v>
      </c>
      <c r="R911">
        <f t="shared" si="81"/>
        <v>107</v>
      </c>
      <c r="S911">
        <f t="shared" si="81"/>
        <v>46</v>
      </c>
      <c r="T911">
        <f t="shared" si="81"/>
        <v>106</v>
      </c>
      <c r="U911">
        <f t="shared" si="81"/>
        <v>111</v>
      </c>
      <c r="V911">
        <f t="shared" si="81"/>
        <v>111</v>
      </c>
      <c r="W911" s="5">
        <f t="shared" si="78"/>
        <v>860</v>
      </c>
      <c r="X911" s="9" t="str">
        <f t="shared" si="79"/>
        <v>i860</v>
      </c>
    </row>
    <row r="912" spans="1:24" x14ac:dyDescent="0.2">
      <c r="A912" s="9" t="s">
        <v>425</v>
      </c>
      <c r="B912" s="9">
        <v>1</v>
      </c>
      <c r="C912" s="22">
        <v>14</v>
      </c>
      <c r="D912" s="25"/>
      <c r="E912" s="23">
        <v>45264</v>
      </c>
      <c r="F912" s="18" t="s">
        <v>364</v>
      </c>
      <c r="G912" s="20" t="s">
        <v>53</v>
      </c>
      <c r="H912" s="19">
        <v>1</v>
      </c>
      <c r="I912" s="20" t="s">
        <v>194</v>
      </c>
      <c r="J912" s="34">
        <v>45234</v>
      </c>
      <c r="K912" s="19">
        <v>0.78</v>
      </c>
      <c r="L912" s="20">
        <f t="shared" si="80"/>
        <v>737</v>
      </c>
      <c r="M912" s="4">
        <f>IF(Table3[[#This Row],[Afrondingsdatum YB]]="N/A","-",Table3[[#This Row],[Afrondingsdatum YB]]-Table3[[#This Row],[StartDatum]])</f>
        <v>45234</v>
      </c>
      <c r="N912" s="4"/>
      <c r="O912">
        <f t="shared" si="81"/>
        <v>110</v>
      </c>
      <c r="P912">
        <f t="shared" si="81"/>
        <v>105</v>
      </c>
      <c r="Q912">
        <f t="shared" si="81"/>
        <v>99</v>
      </c>
      <c r="R912">
        <f t="shared" si="81"/>
        <v>107</v>
      </c>
      <c r="S912">
        <f t="shared" si="81"/>
        <v>111</v>
      </c>
      <c r="T912">
        <f t="shared" si="81"/>
        <v>108</v>
      </c>
      <c r="U912">
        <f t="shared" si="81"/>
        <v>97</v>
      </c>
      <c r="V912">
        <f t="shared" si="81"/>
        <v>115</v>
      </c>
      <c r="W912" s="5">
        <f t="shared" si="78"/>
        <v>917</v>
      </c>
      <c r="X912" s="9" t="str">
        <f t="shared" si="79"/>
        <v>i917</v>
      </c>
    </row>
    <row r="913" spans="1:24" x14ac:dyDescent="0.2">
      <c r="A913" s="9" t="s">
        <v>425</v>
      </c>
      <c r="B913" s="9">
        <v>1</v>
      </c>
      <c r="C913" s="22">
        <v>14</v>
      </c>
      <c r="D913" s="25"/>
      <c r="E913" s="23">
        <v>45264</v>
      </c>
      <c r="F913" s="23" t="s">
        <v>364</v>
      </c>
      <c r="G913" s="25" t="s">
        <v>54</v>
      </c>
      <c r="H913" s="24">
        <v>1</v>
      </c>
      <c r="I913" s="25" t="s">
        <v>265</v>
      </c>
      <c r="J913" s="32">
        <v>45242</v>
      </c>
      <c r="K913" s="24">
        <v>0.73</v>
      </c>
      <c r="L913" s="25">
        <f t="shared" si="80"/>
        <v>705</v>
      </c>
      <c r="M913" s="4">
        <f>IF(Table3[[#This Row],[Afrondingsdatum YB]]="N/A","-",Table3[[#This Row],[Afrondingsdatum YB]]-Table3[[#This Row],[StartDatum]])</f>
        <v>45242</v>
      </c>
      <c r="N913" s="4"/>
      <c r="O913">
        <f t="shared" si="81"/>
        <v>110</v>
      </c>
      <c r="P913">
        <f t="shared" si="81"/>
        <v>105</v>
      </c>
      <c r="Q913">
        <f t="shared" si="81"/>
        <v>115</v>
      </c>
      <c r="R913">
        <f t="shared" si="81"/>
        <v>114</v>
      </c>
      <c r="S913">
        <f t="shared" si="81"/>
        <v>105</v>
      </c>
      <c r="T913">
        <f t="shared" si="81"/>
        <v>110</v>
      </c>
      <c r="U913">
        <f t="shared" si="81"/>
        <v>46</v>
      </c>
      <c r="V913">
        <f t="shared" si="81"/>
        <v>104</v>
      </c>
      <c r="W913" s="5">
        <f t="shared" si="78"/>
        <v>901</v>
      </c>
      <c r="X913" s="9" t="str">
        <f t="shared" si="79"/>
        <v>i901</v>
      </c>
    </row>
    <row r="914" spans="1:24" x14ac:dyDescent="0.2">
      <c r="A914" s="9" t="s">
        <v>425</v>
      </c>
      <c r="B914" s="9">
        <v>1</v>
      </c>
      <c r="C914" s="22">
        <v>14</v>
      </c>
      <c r="D914" s="25"/>
      <c r="E914" s="23">
        <v>45264</v>
      </c>
      <c r="F914" s="18" t="s">
        <v>364</v>
      </c>
      <c r="G914" s="20" t="s">
        <v>55</v>
      </c>
      <c r="H914" s="19">
        <v>1</v>
      </c>
      <c r="I914" s="20" t="s">
        <v>214</v>
      </c>
      <c r="J914" s="34">
        <v>45217</v>
      </c>
      <c r="K914" s="19">
        <v>0.95</v>
      </c>
      <c r="L914" s="20">
        <f t="shared" si="80"/>
        <v>681</v>
      </c>
      <c r="M914" s="4">
        <f>IF(Table3[[#This Row],[Afrondingsdatum YB]]="N/A","-",Table3[[#This Row],[Afrondingsdatum YB]]-Table3[[#This Row],[StartDatum]])</f>
        <v>45217</v>
      </c>
      <c r="N914" s="4"/>
      <c r="O914">
        <f t="shared" si="81"/>
        <v>110</v>
      </c>
      <c r="P914">
        <f t="shared" si="81"/>
        <v>111</v>
      </c>
      <c r="Q914">
        <f t="shared" si="81"/>
        <v>101</v>
      </c>
      <c r="R914">
        <f t="shared" si="81"/>
        <v>108</v>
      </c>
      <c r="S914">
        <f t="shared" si="81"/>
        <v>108</v>
      </c>
      <c r="T914">
        <f t="shared" si="81"/>
        <v>97</v>
      </c>
      <c r="U914">
        <f t="shared" si="81"/>
        <v>46</v>
      </c>
      <c r="V914">
        <f t="shared" si="81"/>
        <v>108</v>
      </c>
      <c r="W914" s="5">
        <f t="shared" si="78"/>
        <v>855</v>
      </c>
      <c r="X914" s="9" t="str">
        <f t="shared" si="79"/>
        <v>o855</v>
      </c>
    </row>
    <row r="915" spans="1:24" x14ac:dyDescent="0.2">
      <c r="A915" s="9" t="s">
        <v>425</v>
      </c>
      <c r="B915" s="9">
        <v>1</v>
      </c>
      <c r="C915" s="22">
        <v>14</v>
      </c>
      <c r="D915" s="25"/>
      <c r="E915" s="23">
        <v>45264</v>
      </c>
      <c r="F915" s="23" t="s">
        <v>363</v>
      </c>
      <c r="G915" s="25" t="s">
        <v>56</v>
      </c>
      <c r="H915" s="24">
        <v>1</v>
      </c>
      <c r="I915" s="25" t="s">
        <v>232</v>
      </c>
      <c r="J915" s="32">
        <v>45228</v>
      </c>
      <c r="K915" s="24">
        <v>0.83</v>
      </c>
      <c r="L915" s="25">
        <f t="shared" si="80"/>
        <v>708</v>
      </c>
      <c r="M915" s="4">
        <f>IF(Table3[[#This Row],[Afrondingsdatum YB]]="N/A","-",Table3[[#This Row],[Afrondingsdatum YB]]-Table3[[#This Row],[StartDatum]])</f>
        <v>45228</v>
      </c>
      <c r="N915" s="4"/>
      <c r="O915">
        <f t="shared" si="81"/>
        <v>110</v>
      </c>
      <c r="P915">
        <f t="shared" si="81"/>
        <v>117</v>
      </c>
      <c r="Q915">
        <f t="shared" si="81"/>
        <v>112</v>
      </c>
      <c r="R915">
        <f t="shared" si="81"/>
        <v>101</v>
      </c>
      <c r="S915">
        <f t="shared" si="81"/>
        <v>108</v>
      </c>
      <c r="T915">
        <f t="shared" si="81"/>
        <v>46</v>
      </c>
      <c r="U915">
        <f t="shared" si="81"/>
        <v>114</v>
      </c>
      <c r="V915">
        <f t="shared" si="81"/>
        <v>117</v>
      </c>
      <c r="W915" s="5">
        <f t="shared" si="78"/>
        <v>915</v>
      </c>
      <c r="X915" s="9" t="str">
        <f t="shared" si="79"/>
        <v>u915</v>
      </c>
    </row>
    <row r="916" spans="1:24" x14ac:dyDescent="0.2">
      <c r="A916" s="9" t="s">
        <v>425</v>
      </c>
      <c r="B916" s="9">
        <v>1</v>
      </c>
      <c r="C916" s="22">
        <v>14</v>
      </c>
      <c r="D916" s="25"/>
      <c r="E916" s="23">
        <v>45264</v>
      </c>
      <c r="F916" s="18" t="s">
        <v>364</v>
      </c>
      <c r="G916" s="20" t="s">
        <v>57</v>
      </c>
      <c r="H916" s="19">
        <v>1</v>
      </c>
      <c r="I916" s="20" t="s">
        <v>233</v>
      </c>
      <c r="J916" s="34">
        <v>45228</v>
      </c>
      <c r="K916" s="19">
        <v>0.73</v>
      </c>
      <c r="L916" s="20">
        <f t="shared" si="80"/>
        <v>762</v>
      </c>
      <c r="M916" s="4">
        <f>IF(Table3[[#This Row],[Afrondingsdatum YB]]="N/A","-",Table3[[#This Row],[Afrondingsdatum YB]]-Table3[[#This Row],[StartDatum]])</f>
        <v>45228</v>
      </c>
      <c r="N916" s="4"/>
      <c r="O916">
        <f t="shared" si="81"/>
        <v>111</v>
      </c>
      <c r="P916">
        <f t="shared" si="81"/>
        <v>108</v>
      </c>
      <c r="Q916">
        <f t="shared" si="81"/>
        <v>105</v>
      </c>
      <c r="R916">
        <f t="shared" si="81"/>
        <v>118</v>
      </c>
      <c r="S916">
        <f t="shared" si="81"/>
        <v>105</v>
      </c>
      <c r="T916">
        <f t="shared" si="81"/>
        <v>101</v>
      </c>
      <c r="U916">
        <f t="shared" si="81"/>
        <v>114</v>
      </c>
      <c r="V916">
        <f t="shared" si="81"/>
        <v>46</v>
      </c>
      <c r="W916" s="5">
        <f t="shared" si="78"/>
        <v>876</v>
      </c>
      <c r="X916" s="9" t="str">
        <f t="shared" si="79"/>
        <v>l876</v>
      </c>
    </row>
    <row r="917" spans="1:24" x14ac:dyDescent="0.2">
      <c r="A917" s="9" t="s">
        <v>425</v>
      </c>
      <c r="B917" s="9">
        <v>1</v>
      </c>
      <c r="C917" s="22">
        <v>14</v>
      </c>
      <c r="D917" s="25"/>
      <c r="E917" s="23">
        <v>45264</v>
      </c>
      <c r="F917" s="23" t="s">
        <v>362</v>
      </c>
      <c r="G917" s="25" t="s">
        <v>58</v>
      </c>
      <c r="H917" s="24">
        <v>1</v>
      </c>
      <c r="I917" s="25" t="s">
        <v>266</v>
      </c>
      <c r="J917" s="32">
        <v>45237</v>
      </c>
      <c r="K917" s="24">
        <v>0.9</v>
      </c>
      <c r="L917" s="25">
        <f t="shared" si="80"/>
        <v>681</v>
      </c>
      <c r="M917" s="4">
        <f>IF(Table3[[#This Row],[Afrondingsdatum YB]]="N/A","-",Table3[[#This Row],[Afrondingsdatum YB]]-Table3[[#This Row],[StartDatum]])</f>
        <v>45237</v>
      </c>
      <c r="N917" s="4"/>
      <c r="O917">
        <f t="shared" si="81"/>
        <v>112</v>
      </c>
      <c r="P917">
        <f t="shared" si="81"/>
        <v>97</v>
      </c>
      <c r="Q917">
        <f t="shared" si="81"/>
        <v>117</v>
      </c>
      <c r="R917">
        <f t="shared" si="81"/>
        <v>108</v>
      </c>
      <c r="S917">
        <f t="shared" si="81"/>
        <v>46</v>
      </c>
      <c r="T917">
        <f t="shared" si="81"/>
        <v>100</v>
      </c>
      <c r="U917">
        <f t="shared" si="81"/>
        <v>101</v>
      </c>
      <c r="V917">
        <f t="shared" si="81"/>
        <v>46</v>
      </c>
      <c r="W917" s="5">
        <f t="shared" si="78"/>
        <v>832</v>
      </c>
      <c r="X917" s="9" t="str">
        <f t="shared" si="79"/>
        <v>a832</v>
      </c>
    </row>
    <row r="918" spans="1:24" x14ac:dyDescent="0.2">
      <c r="A918" s="9" t="s">
        <v>425</v>
      </c>
      <c r="B918" s="9">
        <v>1</v>
      </c>
      <c r="C918" s="22">
        <v>14</v>
      </c>
      <c r="D918" s="25"/>
      <c r="E918" s="23">
        <v>45264</v>
      </c>
      <c r="F918" s="18" t="s">
        <v>364</v>
      </c>
      <c r="G918" s="20" t="s">
        <v>59</v>
      </c>
      <c r="H918" s="19">
        <v>1</v>
      </c>
      <c r="I918" s="20" t="s">
        <v>148</v>
      </c>
      <c r="J918" s="34">
        <v>45236</v>
      </c>
      <c r="K918" s="19">
        <v>0.78</v>
      </c>
      <c r="L918" s="20">
        <f t="shared" si="80"/>
        <v>695</v>
      </c>
      <c r="M918" s="4">
        <f>IF(Table3[[#This Row],[Afrondingsdatum YB]]="N/A","-",Table3[[#This Row],[Afrondingsdatum YB]]-Table3[[#This Row],[StartDatum]])</f>
        <v>45236</v>
      </c>
      <c r="N918" s="4"/>
      <c r="O918">
        <f t="shared" si="81"/>
        <v>112</v>
      </c>
      <c r="P918">
        <f t="shared" si="81"/>
        <v>105</v>
      </c>
      <c r="Q918">
        <f t="shared" si="81"/>
        <v>101</v>
      </c>
      <c r="R918">
        <f t="shared" si="81"/>
        <v>116</v>
      </c>
      <c r="S918">
        <f t="shared" si="81"/>
        <v>101</v>
      </c>
      <c r="T918">
        <f t="shared" si="81"/>
        <v>114</v>
      </c>
      <c r="U918">
        <f t="shared" si="81"/>
        <v>46</v>
      </c>
      <c r="V918">
        <f t="shared" si="81"/>
        <v>109</v>
      </c>
      <c r="W918" s="5">
        <f t="shared" si="78"/>
        <v>867</v>
      </c>
      <c r="X918" s="9" t="str">
        <f t="shared" si="79"/>
        <v>i867</v>
      </c>
    </row>
    <row r="919" spans="1:24" x14ac:dyDescent="0.2">
      <c r="A919" s="9" t="s">
        <v>425</v>
      </c>
      <c r="B919" s="9">
        <v>1</v>
      </c>
      <c r="C919" s="22">
        <v>14</v>
      </c>
      <c r="D919" s="25"/>
      <c r="E919" s="23">
        <v>45264</v>
      </c>
      <c r="F919" s="23" t="s">
        <v>362</v>
      </c>
      <c r="G919" s="25" t="s">
        <v>60</v>
      </c>
      <c r="H919" s="24">
        <v>1</v>
      </c>
      <c r="I919" s="25" t="s">
        <v>72</v>
      </c>
      <c r="J919" s="32">
        <v>45222</v>
      </c>
      <c r="K919" s="24">
        <v>0.8</v>
      </c>
      <c r="L919" s="25">
        <f t="shared" si="80"/>
        <v>703</v>
      </c>
      <c r="M919" s="4">
        <f>IF(Table3[[#This Row],[Afrondingsdatum YB]]="N/A","-",Table3[[#This Row],[Afrondingsdatum YB]]-Table3[[#This Row],[StartDatum]])</f>
        <v>45222</v>
      </c>
      <c r="N919" s="4"/>
      <c r="O919">
        <f t="shared" si="81"/>
        <v>114</v>
      </c>
      <c r="P919">
        <f t="shared" si="81"/>
        <v>101</v>
      </c>
      <c r="Q919">
        <f t="shared" si="81"/>
        <v>110</v>
      </c>
      <c r="R919">
        <f t="shared" si="81"/>
        <v>115</v>
      </c>
      <c r="S919">
        <f t="shared" si="81"/>
        <v>46</v>
      </c>
      <c r="T919">
        <f t="shared" si="81"/>
        <v>103</v>
      </c>
      <c r="U919">
        <f t="shared" si="81"/>
        <v>114</v>
      </c>
      <c r="V919">
        <f t="shared" si="81"/>
        <v>111</v>
      </c>
      <c r="W919" s="5">
        <f t="shared" si="78"/>
        <v>897</v>
      </c>
      <c r="X919" s="9" t="str">
        <f t="shared" si="79"/>
        <v>e897</v>
      </c>
    </row>
    <row r="920" spans="1:24" x14ac:dyDescent="0.2">
      <c r="A920" s="9" t="s">
        <v>425</v>
      </c>
      <c r="B920" s="9">
        <v>1</v>
      </c>
      <c r="C920" s="22">
        <v>14</v>
      </c>
      <c r="D920" s="25"/>
      <c r="E920" s="23">
        <v>45264</v>
      </c>
      <c r="F920" s="18" t="s">
        <v>363</v>
      </c>
      <c r="G920" s="20" t="s">
        <v>61</v>
      </c>
      <c r="H920" s="19">
        <v>1</v>
      </c>
      <c r="I920" s="20" t="s">
        <v>86</v>
      </c>
      <c r="J920" s="34">
        <v>45228</v>
      </c>
      <c r="K920" s="19">
        <v>0.75</v>
      </c>
      <c r="L920" s="20">
        <f t="shared" si="80"/>
        <v>697</v>
      </c>
      <c r="M920" s="4">
        <f>IF(Table3[[#This Row],[Afrondingsdatum YB]]="N/A","-",Table3[[#This Row],[Afrondingsdatum YB]]-Table3[[#This Row],[StartDatum]])</f>
        <v>45228</v>
      </c>
      <c r="N920" s="4"/>
      <c r="O920">
        <f t="shared" si="81"/>
        <v>114</v>
      </c>
      <c r="P920">
        <f t="shared" si="81"/>
        <v>111</v>
      </c>
      <c r="Q920">
        <f t="shared" si="81"/>
        <v>119</v>
      </c>
      <c r="R920">
        <f t="shared" si="81"/>
        <v>97</v>
      </c>
      <c r="S920">
        <f t="shared" si="81"/>
        <v>110</v>
      </c>
      <c r="T920">
        <f t="shared" si="81"/>
        <v>46</v>
      </c>
      <c r="U920">
        <f t="shared" si="81"/>
        <v>100</v>
      </c>
      <c r="V920">
        <f t="shared" si="81"/>
        <v>101</v>
      </c>
      <c r="W920" s="5">
        <f t="shared" si="78"/>
        <v>908</v>
      </c>
      <c r="X920" s="9" t="str">
        <f t="shared" si="79"/>
        <v>o908</v>
      </c>
    </row>
    <row r="921" spans="1:24" x14ac:dyDescent="0.2">
      <c r="A921" s="9" t="s">
        <v>425</v>
      </c>
      <c r="B921" s="9">
        <v>1</v>
      </c>
      <c r="C921" s="22">
        <v>14</v>
      </c>
      <c r="D921" s="25"/>
      <c r="E921" s="23">
        <v>45264</v>
      </c>
      <c r="F921" s="23" t="s">
        <v>363</v>
      </c>
      <c r="G921" s="25" t="s">
        <v>84</v>
      </c>
      <c r="H921" s="24">
        <v>1</v>
      </c>
      <c r="I921" s="25" t="s">
        <v>176</v>
      </c>
      <c r="J921" s="32">
        <v>45231</v>
      </c>
      <c r="K921" s="24">
        <v>0.83</v>
      </c>
      <c r="L921" s="25">
        <f t="shared" si="80"/>
        <v>683</v>
      </c>
      <c r="M921" s="4">
        <f>IF(Table3[[#This Row],[Afrondingsdatum YB]]="N/A","-",Table3[[#This Row],[Afrondingsdatum YB]]-Table3[[#This Row],[StartDatum]])</f>
        <v>45231</v>
      </c>
      <c r="N921" s="4"/>
      <c r="O921">
        <f t="shared" si="81"/>
        <v>115</v>
      </c>
      <c r="P921">
        <f t="shared" si="81"/>
        <v>97</v>
      </c>
      <c r="Q921">
        <f t="shared" si="81"/>
        <v>110</v>
      </c>
      <c r="R921">
        <f t="shared" si="81"/>
        <v>100</v>
      </c>
      <c r="S921">
        <f t="shared" si="81"/>
        <v>101</v>
      </c>
      <c r="T921">
        <f t="shared" si="81"/>
        <v>114</v>
      </c>
      <c r="U921">
        <f t="shared" si="81"/>
        <v>46</v>
      </c>
      <c r="V921">
        <f t="shared" si="81"/>
        <v>98</v>
      </c>
      <c r="W921" s="5">
        <f t="shared" si="78"/>
        <v>878</v>
      </c>
      <c r="X921" s="9" t="str">
        <f t="shared" si="79"/>
        <v>a878</v>
      </c>
    </row>
    <row r="922" spans="1:24" x14ac:dyDescent="0.2">
      <c r="A922" s="9" t="s">
        <v>425</v>
      </c>
      <c r="B922" s="9">
        <v>1</v>
      </c>
      <c r="C922" s="22">
        <v>14</v>
      </c>
      <c r="D922" s="25"/>
      <c r="E922" s="23">
        <v>45264</v>
      </c>
      <c r="F922" s="18" t="s">
        <v>363</v>
      </c>
      <c r="G922" s="20" t="s">
        <v>62</v>
      </c>
      <c r="H922" s="19">
        <v>1</v>
      </c>
      <c r="I922" s="20" t="s">
        <v>162</v>
      </c>
      <c r="J922" s="34">
        <v>45202</v>
      </c>
      <c r="K922" s="19">
        <v>0.75</v>
      </c>
      <c r="L922" s="20">
        <f t="shared" si="80"/>
        <v>670</v>
      </c>
      <c r="M922" s="4">
        <f>IF(Table3[[#This Row],[Afrondingsdatum YB]]="N/A","-",Table3[[#This Row],[Afrondingsdatum YB]]-Table3[[#This Row],[StartDatum]])</f>
        <v>45202</v>
      </c>
      <c r="N922" s="4"/>
      <c r="O922">
        <f t="shared" si="81"/>
        <v>115</v>
      </c>
      <c r="P922">
        <f t="shared" si="81"/>
        <v>97</v>
      </c>
      <c r="Q922">
        <f t="shared" si="81"/>
        <v>114</v>
      </c>
      <c r="R922">
        <f t="shared" si="81"/>
        <v>97</v>
      </c>
      <c r="S922">
        <f t="shared" si="81"/>
        <v>46</v>
      </c>
      <c r="T922">
        <f t="shared" si="81"/>
        <v>100</v>
      </c>
      <c r="U922">
        <f t="shared" si="81"/>
        <v>101</v>
      </c>
      <c r="V922">
        <f t="shared" si="81"/>
        <v>46</v>
      </c>
      <c r="W922" s="5">
        <f t="shared" si="78"/>
        <v>823</v>
      </c>
      <c r="X922" s="9" t="str">
        <f t="shared" si="79"/>
        <v>a823</v>
      </c>
    </row>
    <row r="923" spans="1:24" x14ac:dyDescent="0.2">
      <c r="A923" s="9" t="s">
        <v>425</v>
      </c>
      <c r="B923" s="9">
        <v>1</v>
      </c>
      <c r="C923" s="22">
        <v>14</v>
      </c>
      <c r="D923" s="25"/>
      <c r="E923" s="23">
        <v>45264</v>
      </c>
      <c r="F923" s="23" t="s">
        <v>362</v>
      </c>
      <c r="G923" s="25" t="s">
        <v>131</v>
      </c>
      <c r="H923" s="24">
        <v>1</v>
      </c>
      <c r="I923" s="25" t="s">
        <v>249</v>
      </c>
      <c r="J923" s="32">
        <v>45239</v>
      </c>
      <c r="K923" s="24">
        <v>0.9</v>
      </c>
      <c r="L923" s="25">
        <f t="shared" si="80"/>
        <v>675</v>
      </c>
      <c r="M923" s="4">
        <f>IF(Table3[[#This Row],[Afrondingsdatum YB]]="N/A","-",Table3[[#This Row],[Afrondingsdatum YB]]-Table3[[#This Row],[StartDatum]])</f>
        <v>45239</v>
      </c>
      <c r="N923" s="4"/>
      <c r="O923">
        <f t="shared" si="81"/>
        <v>115</v>
      </c>
      <c r="P923">
        <f t="shared" si="81"/>
        <v>97</v>
      </c>
      <c r="Q923">
        <f t="shared" si="81"/>
        <v>114</v>
      </c>
      <c r="R923">
        <f t="shared" si="81"/>
        <v>97</v>
      </c>
      <c r="S923">
        <f t="shared" si="81"/>
        <v>104</v>
      </c>
      <c r="T923">
        <f t="shared" si="81"/>
        <v>46</v>
      </c>
      <c r="U923">
        <f t="shared" si="81"/>
        <v>102</v>
      </c>
      <c r="V923">
        <f t="shared" si="81"/>
        <v>97</v>
      </c>
      <c r="W923" s="5">
        <f t="shared" si="78"/>
        <v>879</v>
      </c>
      <c r="X923" s="9" t="str">
        <f t="shared" si="79"/>
        <v>a879</v>
      </c>
    </row>
    <row r="924" spans="1:24" x14ac:dyDescent="0.2">
      <c r="A924" s="9" t="s">
        <v>425</v>
      </c>
      <c r="B924" s="9">
        <v>1</v>
      </c>
      <c r="C924" s="22">
        <v>14</v>
      </c>
      <c r="D924" s="25"/>
      <c r="E924" s="23">
        <v>45264</v>
      </c>
      <c r="F924" s="18" t="s">
        <v>364</v>
      </c>
      <c r="G924" s="20" t="s">
        <v>108</v>
      </c>
      <c r="H924" s="19">
        <v>1</v>
      </c>
      <c r="I924" s="20" t="s">
        <v>267</v>
      </c>
      <c r="J924" s="34">
        <v>45236</v>
      </c>
      <c r="K924" s="19">
        <v>0.88</v>
      </c>
      <c r="L924" s="20">
        <f t="shared" si="80"/>
        <v>760</v>
      </c>
      <c r="M924" s="4">
        <f>IF(Table3[[#This Row],[Afrondingsdatum YB]]="N/A","-",Table3[[#This Row],[Afrondingsdatum YB]]-Table3[[#This Row],[StartDatum]])</f>
        <v>45236</v>
      </c>
      <c r="N924" s="4"/>
      <c r="O924">
        <f t="shared" si="81"/>
        <v>115</v>
      </c>
      <c r="P924">
        <f t="shared" si="81"/>
        <v>97</v>
      </c>
      <c r="Q924">
        <f t="shared" si="81"/>
        <v>118</v>
      </c>
      <c r="R924">
        <f t="shared" si="81"/>
        <v>101</v>
      </c>
      <c r="S924">
        <f t="shared" si="81"/>
        <v>114</v>
      </c>
      <c r="T924">
        <f t="shared" si="81"/>
        <v>105</v>
      </c>
      <c r="U924">
        <f t="shared" si="81"/>
        <v>110</v>
      </c>
      <c r="V924">
        <f t="shared" si="81"/>
        <v>105</v>
      </c>
      <c r="W924" s="5">
        <f t="shared" si="78"/>
        <v>977</v>
      </c>
      <c r="X924" s="9" t="str">
        <f t="shared" si="79"/>
        <v>a977</v>
      </c>
    </row>
    <row r="925" spans="1:24" x14ac:dyDescent="0.2">
      <c r="A925" s="9" t="s">
        <v>425</v>
      </c>
      <c r="B925" s="9">
        <v>1</v>
      </c>
      <c r="C925" s="22">
        <v>14</v>
      </c>
      <c r="D925" s="25"/>
      <c r="E925" s="23">
        <v>45264</v>
      </c>
      <c r="F925" s="23" t="s">
        <v>364</v>
      </c>
      <c r="G925" s="25" t="s">
        <v>109</v>
      </c>
      <c r="H925" s="24">
        <v>0.99</v>
      </c>
      <c r="I925" s="25" t="s">
        <v>268</v>
      </c>
      <c r="J925" s="25" t="s">
        <v>7</v>
      </c>
      <c r="K925" s="25" t="s">
        <v>9</v>
      </c>
      <c r="L925" s="25">
        <f t="shared" si="80"/>
        <v>696</v>
      </c>
      <c r="M925" s="4" t="str">
        <f>IF(Table3[[#This Row],[Afrondingsdatum YB]]="N/A","-",Table3[[#This Row],[Afrondingsdatum YB]]-Table3[[#This Row],[StartDatum]])</f>
        <v>-</v>
      </c>
      <c r="N925" s="4"/>
      <c r="O925">
        <f t="shared" si="81"/>
        <v>115</v>
      </c>
      <c r="P925">
        <f t="shared" si="81"/>
        <v>101</v>
      </c>
      <c r="Q925">
        <f t="shared" si="81"/>
        <v>109</v>
      </c>
      <c r="R925">
        <f t="shared" si="81"/>
        <v>46</v>
      </c>
      <c r="S925">
        <f t="shared" si="81"/>
        <v>118</v>
      </c>
      <c r="T925">
        <f t="shared" si="81"/>
        <v>97</v>
      </c>
      <c r="U925">
        <f t="shared" si="81"/>
        <v>110</v>
      </c>
      <c r="V925">
        <f t="shared" si="81"/>
        <v>46</v>
      </c>
      <c r="W925" s="5">
        <f t="shared" si="78"/>
        <v>875</v>
      </c>
      <c r="X925" s="9" t="str">
        <f t="shared" si="79"/>
        <v>e875</v>
      </c>
    </row>
    <row r="926" spans="1:24" x14ac:dyDescent="0.2">
      <c r="A926" s="9" t="s">
        <v>425</v>
      </c>
      <c r="B926" s="9">
        <v>1</v>
      </c>
      <c r="C926" s="22">
        <v>14</v>
      </c>
      <c r="D926" s="25"/>
      <c r="E926" s="23">
        <v>45264</v>
      </c>
      <c r="F926" s="18" t="s">
        <v>362</v>
      </c>
      <c r="G926" s="20" t="s">
        <v>63</v>
      </c>
      <c r="H926" s="19">
        <v>1</v>
      </c>
      <c r="I926" s="20" t="s">
        <v>126</v>
      </c>
      <c r="J926" s="34">
        <v>45260</v>
      </c>
      <c r="K926" s="19">
        <v>0.75</v>
      </c>
      <c r="L926" s="20">
        <f t="shared" si="80"/>
        <v>673</v>
      </c>
      <c r="M926" s="4">
        <f>IF(Table3[[#This Row],[Afrondingsdatum YB]]="N/A","-",Table3[[#This Row],[Afrondingsdatum YB]]-Table3[[#This Row],[StartDatum]])</f>
        <v>45260</v>
      </c>
      <c r="N926" s="4"/>
      <c r="O926">
        <f t="shared" si="81"/>
        <v>83</v>
      </c>
      <c r="P926">
        <f t="shared" si="81"/>
        <v>121</v>
      </c>
      <c r="Q926">
        <f t="shared" si="81"/>
        <v>98</v>
      </c>
      <c r="R926">
        <f t="shared" si="81"/>
        <v>114</v>
      </c>
      <c r="S926">
        <f t="shared" si="81"/>
        <v>101</v>
      </c>
      <c r="T926">
        <f t="shared" si="81"/>
        <v>110</v>
      </c>
      <c r="U926">
        <f t="shared" si="81"/>
        <v>46</v>
      </c>
      <c r="V926">
        <f t="shared" si="81"/>
        <v>104</v>
      </c>
      <c r="W926" s="5">
        <f t="shared" si="78"/>
        <v>827</v>
      </c>
      <c r="X926" s="9" t="str">
        <f t="shared" si="79"/>
        <v>y827</v>
      </c>
    </row>
    <row r="927" spans="1:24" x14ac:dyDescent="0.2">
      <c r="A927" s="9" t="s">
        <v>425</v>
      </c>
      <c r="B927" s="9">
        <v>1</v>
      </c>
      <c r="C927" s="22">
        <v>14</v>
      </c>
      <c r="D927" s="25"/>
      <c r="E927" s="23">
        <v>45264</v>
      </c>
      <c r="F927" s="23" t="s">
        <v>363</v>
      </c>
      <c r="G927" s="25" t="s">
        <v>64</v>
      </c>
      <c r="H927" s="24">
        <v>1</v>
      </c>
      <c r="I927" s="25" t="s">
        <v>159</v>
      </c>
      <c r="J927" s="32">
        <v>45226</v>
      </c>
      <c r="K927" s="24">
        <v>0.75</v>
      </c>
      <c r="L927" s="25">
        <f t="shared" si="80"/>
        <v>709</v>
      </c>
      <c r="M927" s="4">
        <f>IF(Table3[[#This Row],[Afrondingsdatum YB]]="N/A","-",Table3[[#This Row],[Afrondingsdatum YB]]-Table3[[#This Row],[StartDatum]])</f>
        <v>45226</v>
      </c>
      <c r="N927" s="4"/>
      <c r="O927">
        <f t="shared" si="81"/>
        <v>116</v>
      </c>
      <c r="P927">
        <f t="shared" si="81"/>
        <v>101</v>
      </c>
      <c r="Q927">
        <f t="shared" si="81"/>
        <v>117</v>
      </c>
      <c r="R927">
        <f t="shared" si="81"/>
        <v>110</v>
      </c>
      <c r="S927">
        <f t="shared" si="81"/>
        <v>46</v>
      </c>
      <c r="T927">
        <f t="shared" si="81"/>
        <v>114</v>
      </c>
      <c r="U927">
        <f t="shared" si="81"/>
        <v>105</v>
      </c>
      <c r="V927">
        <f t="shared" si="81"/>
        <v>110</v>
      </c>
      <c r="W927" s="5">
        <f t="shared" si="78"/>
        <v>920</v>
      </c>
      <c r="X927" s="9" t="str">
        <f t="shared" si="79"/>
        <v>e920</v>
      </c>
    </row>
    <row r="928" spans="1:24" x14ac:dyDescent="0.2">
      <c r="A928" s="9" t="s">
        <v>425</v>
      </c>
      <c r="B928" s="9">
        <v>1</v>
      </c>
      <c r="C928" s="22">
        <v>14</v>
      </c>
      <c r="D928" s="25"/>
      <c r="E928" s="23">
        <v>45264</v>
      </c>
      <c r="F928" s="18" t="s">
        <v>362</v>
      </c>
      <c r="G928" s="20" t="s">
        <v>132</v>
      </c>
      <c r="H928" s="19">
        <v>1</v>
      </c>
      <c r="I928" s="20" t="s">
        <v>186</v>
      </c>
      <c r="J928" s="34">
        <v>45246</v>
      </c>
      <c r="K928" s="19">
        <v>0.83</v>
      </c>
      <c r="L928" s="20">
        <f t="shared" si="80"/>
        <v>697</v>
      </c>
      <c r="M928" s="4">
        <f>IF(Table3[[#This Row],[Afrondingsdatum YB]]="N/A","-",Table3[[#This Row],[Afrondingsdatum YB]]-Table3[[#This Row],[StartDatum]])</f>
        <v>45246</v>
      </c>
      <c r="N928" s="4"/>
      <c r="O928">
        <f t="shared" si="81"/>
        <v>116</v>
      </c>
      <c r="P928">
        <f t="shared" si="81"/>
        <v>104</v>
      </c>
      <c r="Q928">
        <f t="shared" si="81"/>
        <v>105</v>
      </c>
      <c r="R928">
        <f t="shared" si="81"/>
        <v>114</v>
      </c>
      <c r="S928">
        <f t="shared" si="81"/>
        <v>115</v>
      </c>
      <c r="T928">
        <f t="shared" si="81"/>
        <v>97</v>
      </c>
      <c r="U928">
        <f t="shared" si="81"/>
        <v>46</v>
      </c>
      <c r="V928">
        <f t="shared" si="81"/>
        <v>108</v>
      </c>
      <c r="W928" s="5">
        <f t="shared" si="78"/>
        <v>878</v>
      </c>
      <c r="X928" s="9" t="str">
        <f t="shared" si="79"/>
        <v>h878</v>
      </c>
    </row>
    <row r="929" spans="1:24" x14ac:dyDescent="0.2">
      <c r="A929" s="9" t="s">
        <v>425</v>
      </c>
      <c r="B929" s="9">
        <v>1</v>
      </c>
      <c r="C929" s="22">
        <v>14</v>
      </c>
      <c r="D929" s="25"/>
      <c r="E929" s="23">
        <v>45264</v>
      </c>
      <c r="F929" s="23" t="s">
        <v>364</v>
      </c>
      <c r="G929" s="25" t="s">
        <v>133</v>
      </c>
      <c r="H929" s="24">
        <v>1</v>
      </c>
      <c r="I929" s="25" t="s">
        <v>271</v>
      </c>
      <c r="J929" s="32">
        <v>45238</v>
      </c>
      <c r="K929" s="24">
        <v>0.83</v>
      </c>
      <c r="L929" s="25">
        <f t="shared" si="80"/>
        <v>713</v>
      </c>
      <c r="M929" s="4">
        <f>IF(Table3[[#This Row],[Afrondingsdatum YB]]="N/A","-",Table3[[#This Row],[Afrondingsdatum YB]]-Table3[[#This Row],[StartDatum]])</f>
        <v>45238</v>
      </c>
      <c r="N929" s="4"/>
      <c r="O929">
        <f t="shared" si="81"/>
        <v>116</v>
      </c>
      <c r="P929">
        <f t="shared" si="81"/>
        <v>121</v>
      </c>
      <c r="Q929">
        <f t="shared" si="81"/>
        <v>108</v>
      </c>
      <c r="R929">
        <f t="shared" si="81"/>
        <v>101</v>
      </c>
      <c r="S929">
        <f t="shared" si="81"/>
        <v>114</v>
      </c>
      <c r="T929">
        <f t="shared" si="81"/>
        <v>46</v>
      </c>
      <c r="U929">
        <f t="shared" si="81"/>
        <v>107</v>
      </c>
      <c r="V929">
        <f t="shared" si="81"/>
        <v>111</v>
      </c>
      <c r="W929" s="5">
        <f t="shared" si="78"/>
        <v>904</v>
      </c>
      <c r="X929" s="9" t="str">
        <f t="shared" si="79"/>
        <v>y904</v>
      </c>
    </row>
    <row r="930" spans="1:24" x14ac:dyDescent="0.2">
      <c r="A930" s="9" t="s">
        <v>425</v>
      </c>
      <c r="B930" s="9">
        <v>1</v>
      </c>
      <c r="C930" s="22">
        <v>14</v>
      </c>
      <c r="D930" s="25"/>
      <c r="E930" s="23">
        <v>45264</v>
      </c>
      <c r="F930" s="18" t="s">
        <v>364</v>
      </c>
      <c r="G930" s="20" t="s">
        <v>65</v>
      </c>
      <c r="H930" s="19">
        <v>1</v>
      </c>
      <c r="I930" s="20" t="s">
        <v>144</v>
      </c>
      <c r="J930" s="34">
        <v>45231</v>
      </c>
      <c r="K930" s="19">
        <v>0.93</v>
      </c>
      <c r="L930" s="20">
        <f t="shared" si="80"/>
        <v>711</v>
      </c>
      <c r="M930" s="4">
        <f>IF(Table3[[#This Row],[Afrondingsdatum YB]]="N/A","-",Table3[[#This Row],[Afrondingsdatum YB]]-Table3[[#This Row],[StartDatum]])</f>
        <v>45231</v>
      </c>
      <c r="N930" s="4"/>
      <c r="O930">
        <f t="shared" si="81"/>
        <v>119</v>
      </c>
      <c r="P930">
        <f t="shared" si="81"/>
        <v>101</v>
      </c>
      <c r="Q930">
        <f t="shared" si="81"/>
        <v>115</v>
      </c>
      <c r="R930">
        <f t="shared" si="81"/>
        <v>108</v>
      </c>
      <c r="S930">
        <f t="shared" si="81"/>
        <v>101</v>
      </c>
      <c r="T930">
        <f t="shared" si="81"/>
        <v>121</v>
      </c>
      <c r="U930">
        <f t="shared" si="81"/>
        <v>46</v>
      </c>
      <c r="V930">
        <f t="shared" ref="P930:V945" si="82">CODE(MID($G930,V$1,1))</f>
        <v>99</v>
      </c>
      <c r="W930" s="5">
        <f t="shared" si="78"/>
        <v>909</v>
      </c>
      <c r="X930" s="9" t="str">
        <f t="shared" si="79"/>
        <v>e909</v>
      </c>
    </row>
    <row r="931" spans="1:24" x14ac:dyDescent="0.2">
      <c r="A931" s="9" t="s">
        <v>425</v>
      </c>
      <c r="B931" s="9">
        <v>1</v>
      </c>
      <c r="C931" s="22">
        <v>14</v>
      </c>
      <c r="D931" s="25"/>
      <c r="E931" s="23">
        <v>45264</v>
      </c>
      <c r="F931" s="23" t="s">
        <v>364</v>
      </c>
      <c r="G931" s="25" t="s">
        <v>66</v>
      </c>
      <c r="H931" s="24">
        <v>1</v>
      </c>
      <c r="I931" s="25" t="s">
        <v>202</v>
      </c>
      <c r="J931" s="32">
        <v>45249</v>
      </c>
      <c r="K931" s="24">
        <v>0.8</v>
      </c>
      <c r="L931" s="25">
        <f t="shared" si="80"/>
        <v>697</v>
      </c>
      <c r="M931" s="4">
        <f>IF(Table3[[#This Row],[Afrondingsdatum YB]]="N/A","-",Table3[[#This Row],[Afrondingsdatum YB]]-Table3[[#This Row],[StartDatum]])</f>
        <v>45249</v>
      </c>
      <c r="N931" s="4"/>
      <c r="O931">
        <f t="shared" ref="O931:O933" si="83">CODE(MID($G931,O$1,1))</f>
        <v>121</v>
      </c>
      <c r="P931">
        <f t="shared" si="82"/>
        <v>97</v>
      </c>
      <c r="Q931">
        <f t="shared" si="82"/>
        <v>115</v>
      </c>
      <c r="R931">
        <f t="shared" si="82"/>
        <v>105</v>
      </c>
      <c r="S931">
        <f t="shared" si="82"/>
        <v>110</v>
      </c>
      <c r="T931">
        <f t="shared" si="82"/>
        <v>46</v>
      </c>
      <c r="U931">
        <f t="shared" si="82"/>
        <v>103</v>
      </c>
      <c r="V931">
        <f t="shared" si="82"/>
        <v>111</v>
      </c>
      <c r="W931" s="5">
        <f t="shared" si="78"/>
        <v>911</v>
      </c>
      <c r="X931" s="9" t="str">
        <f t="shared" si="79"/>
        <v>a911</v>
      </c>
    </row>
    <row r="932" spans="1:24" x14ac:dyDescent="0.2">
      <c r="A932" s="9" t="s">
        <v>425</v>
      </c>
      <c r="B932" s="9">
        <v>1</v>
      </c>
      <c r="C932" s="22">
        <v>14</v>
      </c>
      <c r="D932" s="25"/>
      <c r="E932" s="23">
        <v>45264</v>
      </c>
      <c r="F932" s="18" t="s">
        <v>364</v>
      </c>
      <c r="G932" s="20" t="s">
        <v>67</v>
      </c>
      <c r="H932" s="19">
        <v>1</v>
      </c>
      <c r="I932" s="20" t="s">
        <v>153</v>
      </c>
      <c r="J932" s="34">
        <v>45217</v>
      </c>
      <c r="K932" s="19">
        <v>0.73</v>
      </c>
      <c r="L932" s="20">
        <f t="shared" si="80"/>
        <v>764</v>
      </c>
      <c r="M932" s="4">
        <f>IF(Table3[[#This Row],[Afrondingsdatum YB]]="N/A","-",Table3[[#This Row],[Afrondingsdatum YB]]-Table3[[#This Row],[StartDatum]])</f>
        <v>45217</v>
      </c>
      <c r="N932" s="4"/>
      <c r="O932">
        <f t="shared" si="83"/>
        <v>121</v>
      </c>
      <c r="P932">
        <f t="shared" si="82"/>
        <v>97</v>
      </c>
      <c r="Q932">
        <f t="shared" si="82"/>
        <v>115</v>
      </c>
      <c r="R932">
        <f t="shared" si="82"/>
        <v>115</v>
      </c>
      <c r="S932">
        <f t="shared" si="82"/>
        <v>105</v>
      </c>
      <c r="T932">
        <f t="shared" si="82"/>
        <v>110</v>
      </c>
      <c r="U932">
        <f t="shared" si="82"/>
        <v>101</v>
      </c>
      <c r="V932">
        <f t="shared" si="82"/>
        <v>46</v>
      </c>
      <c r="W932" s="5">
        <f t="shared" si="78"/>
        <v>905</v>
      </c>
      <c r="X932" s="9" t="str">
        <f t="shared" si="79"/>
        <v>a905</v>
      </c>
    </row>
    <row r="933" spans="1:24" x14ac:dyDescent="0.2">
      <c r="A933" s="9" t="s">
        <v>425</v>
      </c>
      <c r="B933" s="9">
        <v>1</v>
      </c>
      <c r="C933" s="22">
        <v>14</v>
      </c>
      <c r="D933" s="25"/>
      <c r="E933" s="23">
        <v>45264</v>
      </c>
      <c r="F933" s="23" t="s">
        <v>363</v>
      </c>
      <c r="G933" s="35" t="s">
        <v>68</v>
      </c>
      <c r="H933" s="36">
        <v>1</v>
      </c>
      <c r="I933" s="35" t="s">
        <v>253</v>
      </c>
      <c r="J933" s="37">
        <v>45229</v>
      </c>
      <c r="K933" s="36">
        <v>0.75</v>
      </c>
      <c r="L933" s="35">
        <f t="shared" si="80"/>
        <v>721</v>
      </c>
      <c r="M933" s="4">
        <f>IF(Table3[[#This Row],[Afrondingsdatum YB]]="N/A","-",Table3[[#This Row],[Afrondingsdatum YB]]-Table3[[#This Row],[StartDatum]])</f>
        <v>45229</v>
      </c>
      <c r="N933" s="4"/>
      <c r="O933">
        <f t="shared" si="83"/>
        <v>121</v>
      </c>
      <c r="P933">
        <f t="shared" si="82"/>
        <v>111</v>
      </c>
      <c r="Q933">
        <f t="shared" si="82"/>
        <v>117</v>
      </c>
      <c r="R933">
        <f t="shared" si="82"/>
        <v>114</v>
      </c>
      <c r="S933">
        <f t="shared" si="82"/>
        <v>105</v>
      </c>
      <c r="T933">
        <f t="shared" si="82"/>
        <v>46</v>
      </c>
      <c r="U933">
        <f t="shared" si="82"/>
        <v>107</v>
      </c>
      <c r="V933">
        <f t="shared" si="82"/>
        <v>101</v>
      </c>
      <c r="W933" s="5">
        <f t="shared" si="78"/>
        <v>915</v>
      </c>
      <c r="X933" s="9" t="str">
        <f t="shared" si="79"/>
        <v>o915</v>
      </c>
    </row>
    <row r="934" spans="1:24" x14ac:dyDescent="0.2">
      <c r="A934" s="9" t="s">
        <v>425</v>
      </c>
      <c r="B934" s="9">
        <v>3</v>
      </c>
      <c r="C934" s="25">
        <v>1</v>
      </c>
      <c r="D934" s="25"/>
      <c r="E934" s="23">
        <v>45334</v>
      </c>
      <c r="F934" s="23" t="s">
        <v>280</v>
      </c>
      <c r="G934" s="25" t="s">
        <v>281</v>
      </c>
      <c r="H934" s="24">
        <v>0.14000000000000001</v>
      </c>
      <c r="I934" s="25" t="s">
        <v>174</v>
      </c>
      <c r="J934" s="32" t="s">
        <v>7</v>
      </c>
      <c r="K934" s="24" t="s">
        <v>9</v>
      </c>
      <c r="L934" s="25">
        <f t="shared" si="80"/>
        <v>717</v>
      </c>
      <c r="M934" s="4" t="str">
        <f>IF(Table3[[#This Row],[Afrondingsdatum YB]]="N/A","-",Table3[[#This Row],[Afrondingsdatum YB]]-Table3[[#This Row],[StartDatum]])</f>
        <v>-</v>
      </c>
      <c r="N934" s="4"/>
      <c r="O934">
        <f>CODE(MID($G934,O$1,1))</f>
        <v>97</v>
      </c>
      <c r="P934">
        <f t="shared" si="82"/>
        <v>98</v>
      </c>
      <c r="Q934">
        <f t="shared" si="82"/>
        <v>100</v>
      </c>
      <c r="R934">
        <f t="shared" si="82"/>
        <v>101</v>
      </c>
      <c r="S934">
        <f t="shared" si="82"/>
        <v>108</v>
      </c>
      <c r="T934">
        <f t="shared" si="82"/>
        <v>105</v>
      </c>
      <c r="U934">
        <f t="shared" si="82"/>
        <v>108</v>
      </c>
      <c r="V934">
        <f t="shared" si="82"/>
        <v>97</v>
      </c>
      <c r="W934" s="5">
        <f>ROUND((O934*O$1+P934/P$1+Q934*Q$1+R934/R$1)+SUM(S934:V934),0)</f>
        <v>889</v>
      </c>
      <c r="X934" s="9" t="str">
        <f>MID(G934,2,1)&amp;TEXT(W934,"###")</f>
        <v>b889</v>
      </c>
    </row>
    <row r="935" spans="1:24" x14ac:dyDescent="0.2">
      <c r="A935" s="9" t="s">
        <v>425</v>
      </c>
      <c r="B935" s="9">
        <v>3</v>
      </c>
      <c r="C935" s="25">
        <v>1</v>
      </c>
      <c r="D935" s="25"/>
      <c r="E935" s="23">
        <v>45334</v>
      </c>
      <c r="F935" s="23" t="s">
        <v>280</v>
      </c>
      <c r="G935" s="25" t="s">
        <v>282</v>
      </c>
      <c r="H935" s="24">
        <v>0</v>
      </c>
      <c r="I935" s="25" t="s">
        <v>8</v>
      </c>
      <c r="J935" s="32" t="s">
        <v>7</v>
      </c>
      <c r="K935" s="24" t="s">
        <v>9</v>
      </c>
      <c r="L935" s="25">
        <f t="shared" si="80"/>
        <v>675</v>
      </c>
      <c r="M935" s="4" t="str">
        <f>IF(Table3[[#This Row],[Afrondingsdatum YB]]="N/A","-",Table3[[#This Row],[Afrondingsdatum YB]]-Table3[[#This Row],[StartDatum]])</f>
        <v>-</v>
      </c>
      <c r="N935" s="4"/>
      <c r="O935">
        <f t="shared" ref="O935:V976" si="84">CODE(MID($G935,O$1,1))</f>
        <v>97</v>
      </c>
      <c r="P935">
        <f t="shared" si="82"/>
        <v>104</v>
      </c>
      <c r="Q935">
        <f t="shared" si="82"/>
        <v>109</v>
      </c>
      <c r="R935">
        <f t="shared" si="82"/>
        <v>97</v>
      </c>
      <c r="S935">
        <f t="shared" si="82"/>
        <v>100</v>
      </c>
      <c r="T935">
        <f t="shared" si="82"/>
        <v>46</v>
      </c>
      <c r="U935">
        <f t="shared" si="82"/>
        <v>122</v>
      </c>
      <c r="V935">
        <f t="shared" si="82"/>
        <v>97</v>
      </c>
      <c r="W935" s="5">
        <f t="shared" ref="W935:W998" si="85">ROUND((O935*O$1+P935/P$1+Q935*Q$1+R935/R$1)+SUM(S935:V935),0)</f>
        <v>865</v>
      </c>
      <c r="X935" s="9" t="str">
        <f t="shared" ref="X935:X998" si="86">MID(G935,2,1)&amp;TEXT(W935,"###")</f>
        <v>h865</v>
      </c>
    </row>
    <row r="936" spans="1:24" x14ac:dyDescent="0.2">
      <c r="A936" s="9" t="s">
        <v>425</v>
      </c>
      <c r="B936" s="9">
        <v>3</v>
      </c>
      <c r="C936" s="25">
        <v>1</v>
      </c>
      <c r="D936" s="25"/>
      <c r="E936" s="23">
        <v>45334</v>
      </c>
      <c r="F936" s="23" t="s">
        <v>283</v>
      </c>
      <c r="G936" s="25" t="s">
        <v>284</v>
      </c>
      <c r="H936" s="24">
        <v>0</v>
      </c>
      <c r="I936" s="25" t="s">
        <v>8</v>
      </c>
      <c r="J936" s="32" t="s">
        <v>7</v>
      </c>
      <c r="K936" s="24" t="s">
        <v>9</v>
      </c>
      <c r="L936" s="25">
        <f t="shared" si="80"/>
        <v>656</v>
      </c>
      <c r="M936" s="4" t="str">
        <f>IF(Table3[[#This Row],[Afrondingsdatum YB]]="N/A","-",Table3[[#This Row],[Afrondingsdatum YB]]-Table3[[#This Row],[StartDatum]])</f>
        <v>-</v>
      </c>
      <c r="N936" s="4"/>
      <c r="O936">
        <f t="shared" si="84"/>
        <v>65</v>
      </c>
      <c r="P936">
        <f t="shared" si="82"/>
        <v>104</v>
      </c>
      <c r="Q936">
        <f t="shared" si="82"/>
        <v>109</v>
      </c>
      <c r="R936">
        <f t="shared" si="82"/>
        <v>101</v>
      </c>
      <c r="S936">
        <f t="shared" si="82"/>
        <v>116</v>
      </c>
      <c r="T936">
        <f t="shared" si="82"/>
        <v>46</v>
      </c>
      <c r="U936">
        <f t="shared" si="82"/>
        <v>115</v>
      </c>
      <c r="V936">
        <f t="shared" si="82"/>
        <v>101</v>
      </c>
      <c r="W936" s="5">
        <f t="shared" si="85"/>
        <v>847</v>
      </c>
      <c r="X936" s="9" t="str">
        <f t="shared" si="86"/>
        <v>h847</v>
      </c>
    </row>
    <row r="937" spans="1:24" x14ac:dyDescent="0.2">
      <c r="A937" s="9" t="s">
        <v>425</v>
      </c>
      <c r="B937" s="9">
        <v>3</v>
      </c>
      <c r="C937" s="25">
        <v>1</v>
      </c>
      <c r="D937" s="25"/>
      <c r="E937" s="23">
        <v>45334</v>
      </c>
      <c r="F937" s="23" t="s">
        <v>283</v>
      </c>
      <c r="G937" s="25" t="s">
        <v>285</v>
      </c>
      <c r="H937" s="24">
        <v>0</v>
      </c>
      <c r="I937" s="25" t="s">
        <v>8</v>
      </c>
      <c r="J937" s="32" t="s">
        <v>7</v>
      </c>
      <c r="K937" s="24" t="s">
        <v>9</v>
      </c>
      <c r="L937" s="25">
        <f t="shared" si="80"/>
        <v>747</v>
      </c>
      <c r="M937" s="4" t="str">
        <f>IF(Table3[[#This Row],[Afrondingsdatum YB]]="N/A","-",Table3[[#This Row],[Afrondingsdatum YB]]-Table3[[#This Row],[StartDatum]])</f>
        <v>-</v>
      </c>
      <c r="N937" s="4"/>
      <c r="O937">
        <f t="shared" si="84"/>
        <v>97</v>
      </c>
      <c r="P937">
        <f t="shared" si="82"/>
        <v>110</v>
      </c>
      <c r="Q937">
        <f t="shared" si="82"/>
        <v>97</v>
      </c>
      <c r="R937">
        <f t="shared" si="82"/>
        <v>115</v>
      </c>
      <c r="S937">
        <f t="shared" si="82"/>
        <v>116</v>
      </c>
      <c r="T937">
        <f t="shared" si="82"/>
        <v>97</v>
      </c>
      <c r="U937">
        <f t="shared" si="82"/>
        <v>115</v>
      </c>
      <c r="V937">
        <f t="shared" si="82"/>
        <v>105</v>
      </c>
      <c r="W937" s="5">
        <f t="shared" si="85"/>
        <v>905</v>
      </c>
      <c r="X937" s="9" t="str">
        <f t="shared" si="86"/>
        <v>n905</v>
      </c>
    </row>
    <row r="938" spans="1:24" x14ac:dyDescent="0.2">
      <c r="A938" s="9" t="s">
        <v>425</v>
      </c>
      <c r="B938" s="9">
        <v>3</v>
      </c>
      <c r="C938" s="25">
        <v>1</v>
      </c>
      <c r="D938" s="25"/>
      <c r="E938" s="23">
        <v>45334</v>
      </c>
      <c r="F938" s="23" t="s">
        <v>283</v>
      </c>
      <c r="G938" s="25" t="s">
        <v>286</v>
      </c>
      <c r="H938" s="24">
        <v>0.04</v>
      </c>
      <c r="I938" s="25" t="s">
        <v>76</v>
      </c>
      <c r="J938" s="32" t="s">
        <v>7</v>
      </c>
      <c r="K938" s="24" t="s">
        <v>9</v>
      </c>
      <c r="L938" s="25">
        <f t="shared" si="80"/>
        <v>645</v>
      </c>
      <c r="M938" s="4" t="str">
        <f>IF(Table3[[#This Row],[Afrondingsdatum YB]]="N/A","-",Table3[[#This Row],[Afrondingsdatum YB]]-Table3[[#This Row],[StartDatum]])</f>
        <v>-</v>
      </c>
      <c r="N938" s="4"/>
      <c r="O938">
        <f t="shared" si="84"/>
        <v>66</v>
      </c>
      <c r="P938">
        <f t="shared" si="82"/>
        <v>97</v>
      </c>
      <c r="Q938">
        <f t="shared" si="82"/>
        <v>115</v>
      </c>
      <c r="R938">
        <f t="shared" si="82"/>
        <v>46</v>
      </c>
      <c r="S938">
        <f t="shared" si="82"/>
        <v>107</v>
      </c>
      <c r="T938">
        <f t="shared" si="82"/>
        <v>105</v>
      </c>
      <c r="U938">
        <f t="shared" si="82"/>
        <v>109</v>
      </c>
      <c r="V938">
        <f t="shared" si="82"/>
        <v>109</v>
      </c>
      <c r="W938" s="5">
        <f t="shared" si="85"/>
        <v>901</v>
      </c>
      <c r="X938" s="9" t="str">
        <f t="shared" si="86"/>
        <v>a901</v>
      </c>
    </row>
    <row r="939" spans="1:24" x14ac:dyDescent="0.2">
      <c r="A939" s="9" t="s">
        <v>425</v>
      </c>
      <c r="B939" s="9">
        <v>3</v>
      </c>
      <c r="C939" s="25">
        <v>1</v>
      </c>
      <c r="D939" s="25"/>
      <c r="E939" s="23">
        <v>45334</v>
      </c>
      <c r="F939" s="23" t="s">
        <v>280</v>
      </c>
      <c r="G939" s="25" t="s">
        <v>287</v>
      </c>
      <c r="H939" s="24">
        <v>0</v>
      </c>
      <c r="I939" s="25" t="s">
        <v>8</v>
      </c>
      <c r="J939" s="32" t="s">
        <v>7</v>
      </c>
      <c r="K939" s="24" t="s">
        <v>9</v>
      </c>
      <c r="L939" s="25">
        <f t="shared" si="80"/>
        <v>666</v>
      </c>
      <c r="M939" s="4" t="str">
        <f>IF(Table3[[#This Row],[Afrondingsdatum YB]]="N/A","-",Table3[[#This Row],[Afrondingsdatum YB]]-Table3[[#This Row],[StartDatum]])</f>
        <v>-</v>
      </c>
      <c r="N939" s="4"/>
      <c r="O939">
        <f t="shared" si="84"/>
        <v>100</v>
      </c>
      <c r="P939">
        <f t="shared" si="82"/>
        <v>106</v>
      </c>
      <c r="Q939">
        <f t="shared" si="82"/>
        <v>97</v>
      </c>
      <c r="R939">
        <f t="shared" si="82"/>
        <v>98</v>
      </c>
      <c r="S939">
        <f t="shared" si="82"/>
        <v>105</v>
      </c>
      <c r="T939">
        <f t="shared" si="82"/>
        <v>114</v>
      </c>
      <c r="U939">
        <f t="shared" si="82"/>
        <v>46</v>
      </c>
      <c r="V939">
        <f t="shared" si="82"/>
        <v>104</v>
      </c>
      <c r="W939" s="5">
        <f t="shared" si="85"/>
        <v>838</v>
      </c>
      <c r="X939" s="9" t="str">
        <f t="shared" si="86"/>
        <v>j838</v>
      </c>
    </row>
    <row r="940" spans="1:24" x14ac:dyDescent="0.2">
      <c r="A940" s="9" t="s">
        <v>425</v>
      </c>
      <c r="B940" s="9">
        <v>3</v>
      </c>
      <c r="C940" s="25">
        <v>1</v>
      </c>
      <c r="D940" s="25"/>
      <c r="E940" s="23">
        <v>45334</v>
      </c>
      <c r="F940" s="23" t="s">
        <v>280</v>
      </c>
      <c r="G940" s="25" t="s">
        <v>288</v>
      </c>
      <c r="H940" s="24">
        <v>0</v>
      </c>
      <c r="I940" s="25" t="s">
        <v>8</v>
      </c>
      <c r="J940" s="32" t="s">
        <v>7</v>
      </c>
      <c r="K940" s="24" t="s">
        <v>9</v>
      </c>
      <c r="L940" s="25">
        <f t="shared" si="80"/>
        <v>682</v>
      </c>
      <c r="M940" s="4" t="str">
        <f>IF(Table3[[#This Row],[Afrondingsdatum YB]]="N/A","-",Table3[[#This Row],[Afrondingsdatum YB]]-Table3[[#This Row],[StartDatum]])</f>
        <v>-</v>
      </c>
      <c r="N940" s="4"/>
      <c r="O940">
        <f t="shared" si="84"/>
        <v>103</v>
      </c>
      <c r="P940">
        <f t="shared" si="82"/>
        <v>108</v>
      </c>
      <c r="Q940">
        <f t="shared" si="82"/>
        <v>101</v>
      </c>
      <c r="R940">
        <f t="shared" si="82"/>
        <v>110</v>
      </c>
      <c r="S940">
        <f t="shared" si="82"/>
        <v>110</v>
      </c>
      <c r="T940">
        <f t="shared" si="82"/>
        <v>46</v>
      </c>
      <c r="U940">
        <f t="shared" si="82"/>
        <v>104</v>
      </c>
      <c r="V940">
        <f t="shared" si="82"/>
        <v>101</v>
      </c>
      <c r="W940" s="5">
        <f t="shared" si="85"/>
        <v>849</v>
      </c>
      <c r="X940" s="9" t="str">
        <f t="shared" si="86"/>
        <v>l849</v>
      </c>
    </row>
    <row r="941" spans="1:24" x14ac:dyDescent="0.2">
      <c r="A941" s="9" t="s">
        <v>425</v>
      </c>
      <c r="B941" s="9">
        <v>3</v>
      </c>
      <c r="C941" s="25">
        <v>1</v>
      </c>
      <c r="D941" s="25"/>
      <c r="E941" s="23">
        <v>45334</v>
      </c>
      <c r="F941" s="23" t="s">
        <v>283</v>
      </c>
      <c r="G941" s="25" t="s">
        <v>289</v>
      </c>
      <c r="H941" s="24">
        <v>0</v>
      </c>
      <c r="I941" s="25" t="s">
        <v>8</v>
      </c>
      <c r="J941" s="32" t="s">
        <v>7</v>
      </c>
      <c r="K941" s="24" t="s">
        <v>9</v>
      </c>
      <c r="L941" s="25">
        <f t="shared" si="80"/>
        <v>675</v>
      </c>
      <c r="M941" s="4" t="str">
        <f>IF(Table3[[#This Row],[Afrondingsdatum YB]]="N/A","-",Table3[[#This Row],[Afrondingsdatum YB]]-Table3[[#This Row],[StartDatum]])</f>
        <v>-</v>
      </c>
      <c r="N941" s="4"/>
      <c r="O941">
        <f t="shared" si="84"/>
        <v>103</v>
      </c>
      <c r="P941">
        <f t="shared" si="82"/>
        <v>114</v>
      </c>
      <c r="Q941">
        <f t="shared" si="82"/>
        <v>97</v>
      </c>
      <c r="R941">
        <f t="shared" si="82"/>
        <v>99</v>
      </c>
      <c r="S941">
        <f t="shared" si="82"/>
        <v>101</v>
      </c>
      <c r="T941">
        <f t="shared" si="82"/>
        <v>46</v>
      </c>
      <c r="U941">
        <f t="shared" si="82"/>
        <v>115</v>
      </c>
      <c r="V941">
        <f t="shared" si="82"/>
        <v>101</v>
      </c>
      <c r="W941" s="5">
        <f t="shared" si="85"/>
        <v>839</v>
      </c>
      <c r="X941" s="9" t="str">
        <f t="shared" si="86"/>
        <v>r839</v>
      </c>
    </row>
    <row r="942" spans="1:24" x14ac:dyDescent="0.2">
      <c r="A942" s="9" t="s">
        <v>425</v>
      </c>
      <c r="B942" s="9">
        <v>3</v>
      </c>
      <c r="C942" s="25">
        <v>1</v>
      </c>
      <c r="D942" s="25"/>
      <c r="E942" s="23">
        <v>45334</v>
      </c>
      <c r="F942" s="23" t="s">
        <v>283</v>
      </c>
      <c r="G942" s="25" t="s">
        <v>290</v>
      </c>
      <c r="H942" s="24">
        <v>0.21</v>
      </c>
      <c r="I942" s="25" t="s">
        <v>88</v>
      </c>
      <c r="J942" s="32" t="s">
        <v>7</v>
      </c>
      <c r="K942" s="24" t="s">
        <v>9</v>
      </c>
      <c r="L942" s="25">
        <f t="shared" si="80"/>
        <v>677</v>
      </c>
      <c r="M942" s="4" t="str">
        <f>IF(Table3[[#This Row],[Afrondingsdatum YB]]="N/A","-",Table3[[#This Row],[Afrondingsdatum YB]]-Table3[[#This Row],[StartDatum]])</f>
        <v>-</v>
      </c>
      <c r="N942" s="4"/>
      <c r="O942">
        <f t="shared" si="84"/>
        <v>105</v>
      </c>
      <c r="P942">
        <f t="shared" si="82"/>
        <v>108</v>
      </c>
      <c r="Q942">
        <f t="shared" si="82"/>
        <v>105</v>
      </c>
      <c r="R942">
        <f t="shared" si="82"/>
        <v>97</v>
      </c>
      <c r="S942">
        <f t="shared" si="82"/>
        <v>115</v>
      </c>
      <c r="T942">
        <f t="shared" si="82"/>
        <v>46</v>
      </c>
      <c r="U942">
        <f t="shared" si="82"/>
        <v>101</v>
      </c>
      <c r="V942">
        <f t="shared" si="82"/>
        <v>108</v>
      </c>
      <c r="W942" s="5">
        <f t="shared" si="85"/>
        <v>868</v>
      </c>
      <c r="X942" s="9" t="str">
        <f t="shared" si="86"/>
        <v>l868</v>
      </c>
    </row>
    <row r="943" spans="1:24" x14ac:dyDescent="0.2">
      <c r="A943" s="9" t="s">
        <v>425</v>
      </c>
      <c r="B943" s="9">
        <v>3</v>
      </c>
      <c r="C943" s="25">
        <v>1</v>
      </c>
      <c r="D943" s="25"/>
      <c r="E943" s="23">
        <v>45334</v>
      </c>
      <c r="F943" s="23" t="s">
        <v>283</v>
      </c>
      <c r="G943" s="25" t="s">
        <v>291</v>
      </c>
      <c r="H943" s="24">
        <v>0</v>
      </c>
      <c r="I943" s="25" t="s">
        <v>8</v>
      </c>
      <c r="J943" s="32" t="s">
        <v>7</v>
      </c>
      <c r="K943" s="24" t="s">
        <v>9</v>
      </c>
      <c r="L943" s="25">
        <f t="shared" si="80"/>
        <v>638</v>
      </c>
      <c r="M943" s="4" t="str">
        <f>IF(Table3[[#This Row],[Afrondingsdatum YB]]="N/A","-",Table3[[#This Row],[Afrondingsdatum YB]]-Table3[[#This Row],[StartDatum]])</f>
        <v>-</v>
      </c>
      <c r="N943" s="4"/>
      <c r="O943">
        <f t="shared" si="84"/>
        <v>73</v>
      </c>
      <c r="P943">
        <f t="shared" si="82"/>
        <v>115</v>
      </c>
      <c r="Q943">
        <f t="shared" si="82"/>
        <v>97</v>
      </c>
      <c r="R943">
        <f t="shared" si="82"/>
        <v>98</v>
      </c>
      <c r="S943">
        <f t="shared" si="82"/>
        <v>101</v>
      </c>
      <c r="T943">
        <f t="shared" si="82"/>
        <v>108</v>
      </c>
      <c r="U943">
        <f t="shared" si="82"/>
        <v>46</v>
      </c>
      <c r="V943">
        <f>CODE(MID($G943,V$1,1))</f>
        <v>109</v>
      </c>
      <c r="W943" s="5">
        <f t="shared" si="85"/>
        <v>810</v>
      </c>
      <c r="X943" s="9" t="str">
        <f t="shared" si="86"/>
        <v>s810</v>
      </c>
    </row>
    <row r="944" spans="1:24" x14ac:dyDescent="0.2">
      <c r="A944" s="9" t="s">
        <v>425</v>
      </c>
      <c r="B944" s="9">
        <v>3</v>
      </c>
      <c r="C944" s="25">
        <v>1</v>
      </c>
      <c r="D944" s="25"/>
      <c r="E944" s="23">
        <v>45334</v>
      </c>
      <c r="F944" s="23" t="s">
        <v>280</v>
      </c>
      <c r="G944" s="25" t="s">
        <v>292</v>
      </c>
      <c r="H944" s="24">
        <v>0</v>
      </c>
      <c r="I944" s="25" t="s">
        <v>8</v>
      </c>
      <c r="J944" s="32" t="s">
        <v>7</v>
      </c>
      <c r="K944" s="24" t="s">
        <v>9</v>
      </c>
      <c r="L944" s="25">
        <f t="shared" si="80"/>
        <v>673</v>
      </c>
      <c r="M944" s="4" t="str">
        <f>IF(Table3[[#This Row],[Afrondingsdatum YB]]="N/A","-",Table3[[#This Row],[Afrondingsdatum YB]]-Table3[[#This Row],[StartDatum]])</f>
        <v>-</v>
      </c>
      <c r="N944" s="4"/>
      <c r="O944">
        <f t="shared" si="84"/>
        <v>106</v>
      </c>
      <c r="P944">
        <f t="shared" si="82"/>
        <v>97</v>
      </c>
      <c r="Q944">
        <f t="shared" si="82"/>
        <v>105</v>
      </c>
      <c r="R944">
        <f t="shared" si="82"/>
        <v>114</v>
      </c>
      <c r="S944">
        <f t="shared" si="82"/>
        <v>46</v>
      </c>
      <c r="T944">
        <f t="shared" si="82"/>
        <v>104</v>
      </c>
      <c r="U944">
        <f t="shared" si="82"/>
        <v>101</v>
      </c>
      <c r="V944">
        <f t="shared" si="82"/>
        <v>107</v>
      </c>
      <c r="W944" s="5">
        <f t="shared" si="85"/>
        <v>856</v>
      </c>
      <c r="X944" s="9" t="str">
        <f t="shared" si="86"/>
        <v>a856</v>
      </c>
    </row>
    <row r="945" spans="1:24" x14ac:dyDescent="0.2">
      <c r="A945" s="9" t="s">
        <v>425</v>
      </c>
      <c r="B945" s="9">
        <v>3</v>
      </c>
      <c r="C945" s="25">
        <v>1</v>
      </c>
      <c r="D945" s="25"/>
      <c r="E945" s="23">
        <v>45334</v>
      </c>
      <c r="F945" s="23" t="s">
        <v>283</v>
      </c>
      <c r="G945" s="25" t="s">
        <v>293</v>
      </c>
      <c r="H945" s="24">
        <v>0</v>
      </c>
      <c r="I945" s="25" t="s">
        <v>8</v>
      </c>
      <c r="J945" s="32" t="s">
        <v>7</v>
      </c>
      <c r="K945" s="24" t="s">
        <v>9</v>
      </c>
      <c r="L945" s="25">
        <f t="shared" si="80"/>
        <v>692</v>
      </c>
      <c r="M945" s="4" t="str">
        <f>IF(Table3[[#This Row],[Afrondingsdatum YB]]="N/A","-",Table3[[#This Row],[Afrondingsdatum YB]]-Table3[[#This Row],[StartDatum]])</f>
        <v>-</v>
      </c>
      <c r="N945" s="4"/>
      <c r="O945">
        <f t="shared" si="84"/>
        <v>106</v>
      </c>
      <c r="P945">
        <f t="shared" si="82"/>
        <v>101</v>
      </c>
      <c r="Q945">
        <f t="shared" si="82"/>
        <v>115</v>
      </c>
      <c r="R945">
        <f t="shared" si="82"/>
        <v>115</v>
      </c>
      <c r="S945">
        <f t="shared" si="82"/>
        <v>101</v>
      </c>
      <c r="T945">
        <f t="shared" si="82"/>
        <v>46</v>
      </c>
      <c r="U945">
        <f t="shared" si="82"/>
        <v>108</v>
      </c>
      <c r="V945">
        <f t="shared" si="82"/>
        <v>101</v>
      </c>
      <c r="W945" s="5">
        <f t="shared" si="85"/>
        <v>886</v>
      </c>
      <c r="X945" s="9" t="str">
        <f t="shared" si="86"/>
        <v>e886</v>
      </c>
    </row>
    <row r="946" spans="1:24" x14ac:dyDescent="0.2">
      <c r="A946" s="9" t="s">
        <v>425</v>
      </c>
      <c r="B946" s="9">
        <v>3</v>
      </c>
      <c r="C946" s="25">
        <v>1</v>
      </c>
      <c r="D946" s="25"/>
      <c r="E946" s="23">
        <v>45334</v>
      </c>
      <c r="F946" s="23" t="s">
        <v>283</v>
      </c>
      <c r="G946" s="25" t="s">
        <v>294</v>
      </c>
      <c r="H946" s="24">
        <v>0</v>
      </c>
      <c r="I946" s="25" t="s">
        <v>8</v>
      </c>
      <c r="J946" s="32" t="s">
        <v>7</v>
      </c>
      <c r="K946" s="24" t="s">
        <v>9</v>
      </c>
      <c r="L946" s="25">
        <f t="shared" si="80"/>
        <v>681</v>
      </c>
      <c r="M946" s="4" t="str">
        <f>IF(Table3[[#This Row],[Afrondingsdatum YB]]="N/A","-",Table3[[#This Row],[Afrondingsdatum YB]]-Table3[[#This Row],[StartDatum]])</f>
        <v>-</v>
      </c>
      <c r="N946" s="4"/>
      <c r="O946">
        <f t="shared" si="84"/>
        <v>106</v>
      </c>
      <c r="P946">
        <f t="shared" si="84"/>
        <v>111</v>
      </c>
      <c r="Q946">
        <f t="shared" si="84"/>
        <v>114</v>
      </c>
      <c r="R946">
        <f t="shared" si="84"/>
        <v>100</v>
      </c>
      <c r="S946">
        <f t="shared" si="84"/>
        <v>46</v>
      </c>
      <c r="T946">
        <f t="shared" si="84"/>
        <v>107</v>
      </c>
      <c r="U946">
        <f t="shared" si="84"/>
        <v>97</v>
      </c>
      <c r="V946">
        <f t="shared" si="84"/>
        <v>114</v>
      </c>
      <c r="W946" s="5">
        <f t="shared" si="85"/>
        <v>893</v>
      </c>
      <c r="X946" s="9" t="str">
        <f t="shared" si="86"/>
        <v>o893</v>
      </c>
    </row>
    <row r="947" spans="1:24" x14ac:dyDescent="0.2">
      <c r="A947" s="9" t="s">
        <v>425</v>
      </c>
      <c r="B947" s="9">
        <v>3</v>
      </c>
      <c r="C947" s="25">
        <v>1</v>
      </c>
      <c r="D947" s="25"/>
      <c r="E947" s="23">
        <v>45334</v>
      </c>
      <c r="F947" s="23" t="s">
        <v>280</v>
      </c>
      <c r="G947" s="25" t="s">
        <v>295</v>
      </c>
      <c r="H947" s="24">
        <v>0</v>
      </c>
      <c r="I947" s="25" t="s">
        <v>8</v>
      </c>
      <c r="J947" s="32" t="s">
        <v>7</v>
      </c>
      <c r="K947" s="24" t="s">
        <v>9</v>
      </c>
      <c r="L947" s="25">
        <f t="shared" si="80"/>
        <v>691</v>
      </c>
      <c r="M947" s="4" t="str">
        <f>IF(Table3[[#This Row],[Afrondingsdatum YB]]="N/A","-",Table3[[#This Row],[Afrondingsdatum YB]]-Table3[[#This Row],[StartDatum]])</f>
        <v>-</v>
      </c>
      <c r="N947" s="4"/>
      <c r="O947">
        <f t="shared" si="84"/>
        <v>106</v>
      </c>
      <c r="P947">
        <f t="shared" si="84"/>
        <v>111</v>
      </c>
      <c r="Q947">
        <f t="shared" si="84"/>
        <v>121</v>
      </c>
      <c r="R947">
        <f t="shared" si="84"/>
        <v>99</v>
      </c>
      <c r="S947">
        <f t="shared" si="84"/>
        <v>101</v>
      </c>
      <c r="T947">
        <f t="shared" si="84"/>
        <v>46</v>
      </c>
      <c r="U947">
        <f t="shared" si="84"/>
        <v>107</v>
      </c>
      <c r="V947">
        <f t="shared" si="84"/>
        <v>111</v>
      </c>
      <c r="W947" s="5">
        <f t="shared" si="85"/>
        <v>914</v>
      </c>
      <c r="X947" s="9" t="str">
        <f t="shared" si="86"/>
        <v>o914</v>
      </c>
    </row>
    <row r="948" spans="1:24" x14ac:dyDescent="0.2">
      <c r="A948" s="9" t="s">
        <v>425</v>
      </c>
      <c r="B948" s="9">
        <v>3</v>
      </c>
      <c r="C948" s="25">
        <v>1</v>
      </c>
      <c r="D948" s="25"/>
      <c r="E948" s="23">
        <v>45334</v>
      </c>
      <c r="F948" s="23" t="s">
        <v>283</v>
      </c>
      <c r="G948" s="25" t="s">
        <v>296</v>
      </c>
      <c r="H948" s="24">
        <v>0</v>
      </c>
      <c r="I948" s="25" t="s">
        <v>8</v>
      </c>
      <c r="J948" s="32" t="s">
        <v>7</v>
      </c>
      <c r="K948" s="24" t="s">
        <v>9</v>
      </c>
      <c r="L948" s="25">
        <f t="shared" si="80"/>
        <v>689</v>
      </c>
      <c r="M948" s="4" t="str">
        <f>IF(Table3[[#This Row],[Afrondingsdatum YB]]="N/A","-",Table3[[#This Row],[Afrondingsdatum YB]]-Table3[[#This Row],[StartDatum]])</f>
        <v>-</v>
      </c>
      <c r="N948" s="4"/>
      <c r="O948">
        <f t="shared" si="84"/>
        <v>106</v>
      </c>
      <c r="P948">
        <f t="shared" si="84"/>
        <v>117</v>
      </c>
      <c r="Q948">
        <f t="shared" si="84"/>
        <v>108</v>
      </c>
      <c r="R948">
        <f t="shared" si="84"/>
        <v>105</v>
      </c>
      <c r="S948">
        <f t="shared" si="84"/>
        <v>97</v>
      </c>
      <c r="T948">
        <f t="shared" si="84"/>
        <v>110</v>
      </c>
      <c r="U948">
        <f t="shared" si="84"/>
        <v>46</v>
      </c>
      <c r="V948">
        <f t="shared" si="84"/>
        <v>109</v>
      </c>
      <c r="W948" s="5">
        <f t="shared" si="85"/>
        <v>877</v>
      </c>
      <c r="X948" s="9" t="str">
        <f t="shared" si="86"/>
        <v>u877</v>
      </c>
    </row>
    <row r="949" spans="1:24" x14ac:dyDescent="0.2">
      <c r="A949" s="9" t="s">
        <v>425</v>
      </c>
      <c r="B949" s="9">
        <v>3</v>
      </c>
      <c r="C949" s="25">
        <v>1</v>
      </c>
      <c r="D949" s="25"/>
      <c r="E949" s="23">
        <v>45334</v>
      </c>
      <c r="F949" s="23" t="s">
        <v>283</v>
      </c>
      <c r="G949" s="25" t="s">
        <v>297</v>
      </c>
      <c r="H949" s="24">
        <v>0</v>
      </c>
      <c r="I949" s="25" t="s">
        <v>8</v>
      </c>
      <c r="J949" s="32" t="s">
        <v>7</v>
      </c>
      <c r="K949" s="24" t="s">
        <v>9</v>
      </c>
      <c r="L949" s="25">
        <f t="shared" si="80"/>
        <v>698</v>
      </c>
      <c r="M949" s="4" t="str">
        <f>IF(Table3[[#This Row],[Afrondingsdatum YB]]="N/A","-",Table3[[#This Row],[Afrondingsdatum YB]]-Table3[[#This Row],[StartDatum]])</f>
        <v>-</v>
      </c>
      <c r="N949" s="4"/>
      <c r="O949">
        <f t="shared" si="84"/>
        <v>106</v>
      </c>
      <c r="P949">
        <f t="shared" si="84"/>
        <v>117</v>
      </c>
      <c r="Q949">
        <f t="shared" si="84"/>
        <v>114</v>
      </c>
      <c r="R949">
        <f t="shared" si="84"/>
        <v>114</v>
      </c>
      <c r="S949">
        <f t="shared" si="84"/>
        <v>101</v>
      </c>
      <c r="T949">
        <f t="shared" si="84"/>
        <v>46</v>
      </c>
      <c r="U949">
        <f t="shared" si="84"/>
        <v>100</v>
      </c>
      <c r="V949">
        <f t="shared" si="84"/>
        <v>101</v>
      </c>
      <c r="W949" s="5">
        <f t="shared" si="85"/>
        <v>883</v>
      </c>
      <c r="X949" s="9" t="str">
        <f t="shared" si="86"/>
        <v>u883</v>
      </c>
    </row>
    <row r="950" spans="1:24" x14ac:dyDescent="0.2">
      <c r="A950" s="9" t="s">
        <v>425</v>
      </c>
      <c r="B950" s="9">
        <v>3</v>
      </c>
      <c r="C950" s="25">
        <v>1</v>
      </c>
      <c r="D950" s="25"/>
      <c r="E950" s="23">
        <v>45334</v>
      </c>
      <c r="F950" s="23" t="s">
        <v>280</v>
      </c>
      <c r="G950" s="25" t="s">
        <v>298</v>
      </c>
      <c r="H950" s="24">
        <v>0</v>
      </c>
      <c r="I950" s="25" t="s">
        <v>299</v>
      </c>
      <c r="J950" s="32" t="s">
        <v>7</v>
      </c>
      <c r="K950" s="24" t="s">
        <v>9</v>
      </c>
      <c r="L950" s="25">
        <f t="shared" si="80"/>
        <v>685</v>
      </c>
      <c r="M950" s="4" t="str">
        <f>IF(Table3[[#This Row],[Afrondingsdatum YB]]="N/A","-",Table3[[#This Row],[Afrondingsdatum YB]]-Table3[[#This Row],[StartDatum]])</f>
        <v>-</v>
      </c>
      <c r="N950" s="4"/>
      <c r="O950">
        <f t="shared" si="84"/>
        <v>75</v>
      </c>
      <c r="P950">
        <f t="shared" si="84"/>
        <v>121</v>
      </c>
      <c r="Q950">
        <f t="shared" si="84"/>
        <v>114</v>
      </c>
      <c r="R950">
        <f t="shared" si="84"/>
        <v>111</v>
      </c>
      <c r="S950">
        <f t="shared" si="84"/>
        <v>110</v>
      </c>
      <c r="T950">
        <f t="shared" si="84"/>
        <v>46</v>
      </c>
      <c r="U950">
        <f t="shared" si="84"/>
        <v>108</v>
      </c>
      <c r="V950">
        <f t="shared" si="84"/>
        <v>101</v>
      </c>
      <c r="W950" s="5">
        <f t="shared" si="85"/>
        <v>870</v>
      </c>
      <c r="X950" s="9" t="str">
        <f t="shared" si="86"/>
        <v>y870</v>
      </c>
    </row>
    <row r="951" spans="1:24" x14ac:dyDescent="0.2">
      <c r="A951" s="9" t="s">
        <v>425</v>
      </c>
      <c r="B951" s="9">
        <v>3</v>
      </c>
      <c r="C951" s="25">
        <v>1</v>
      </c>
      <c r="D951" s="25"/>
      <c r="E951" s="23">
        <v>45334</v>
      </c>
      <c r="F951" s="23" t="s">
        <v>280</v>
      </c>
      <c r="G951" s="25" t="s">
        <v>300</v>
      </c>
      <c r="H951" s="24">
        <v>0</v>
      </c>
      <c r="I951" s="25" t="s">
        <v>8</v>
      </c>
      <c r="J951" s="32" t="s">
        <v>7</v>
      </c>
      <c r="K951" s="24" t="s">
        <v>9</v>
      </c>
      <c r="L951" s="25">
        <f t="shared" si="80"/>
        <v>761</v>
      </c>
      <c r="M951" s="4" t="str">
        <f>IF(Table3[[#This Row],[Afrondingsdatum YB]]="N/A","-",Table3[[#This Row],[Afrondingsdatum YB]]-Table3[[#This Row],[StartDatum]])</f>
        <v>-</v>
      </c>
      <c r="N951" s="4"/>
      <c r="O951">
        <f t="shared" si="84"/>
        <v>108</v>
      </c>
      <c r="P951">
        <f t="shared" si="84"/>
        <v>117</v>
      </c>
      <c r="Q951">
        <f t="shared" si="84"/>
        <v>99</v>
      </c>
      <c r="R951">
        <f t="shared" si="84"/>
        <v>105</v>
      </c>
      <c r="S951">
        <f t="shared" si="84"/>
        <v>97</v>
      </c>
      <c r="T951">
        <f t="shared" si="84"/>
        <v>121</v>
      </c>
      <c r="U951">
        <f t="shared" si="84"/>
        <v>114</v>
      </c>
      <c r="V951">
        <f t="shared" si="84"/>
        <v>111</v>
      </c>
      <c r="W951" s="5">
        <f t="shared" si="85"/>
        <v>933</v>
      </c>
      <c r="X951" s="9" t="str">
        <f t="shared" si="86"/>
        <v>u933</v>
      </c>
    </row>
    <row r="952" spans="1:24" x14ac:dyDescent="0.2">
      <c r="A952" s="9" t="s">
        <v>425</v>
      </c>
      <c r="B952" s="9">
        <v>3</v>
      </c>
      <c r="C952" s="25">
        <v>1</v>
      </c>
      <c r="D952" s="25"/>
      <c r="E952" s="23">
        <v>45334</v>
      </c>
      <c r="F952" s="23" t="s">
        <v>283</v>
      </c>
      <c r="G952" s="25" t="s">
        <v>301</v>
      </c>
      <c r="H952" s="24">
        <v>0</v>
      </c>
      <c r="I952" s="25" t="s">
        <v>8</v>
      </c>
      <c r="J952" s="32" t="s">
        <v>7</v>
      </c>
      <c r="K952" s="24" t="s">
        <v>9</v>
      </c>
      <c r="L952" s="25">
        <f t="shared" si="80"/>
        <v>762</v>
      </c>
      <c r="M952" s="4" t="str">
        <f>IF(Table3[[#This Row],[Afrondingsdatum YB]]="N/A","-",Table3[[#This Row],[Afrondingsdatum YB]]-Table3[[#This Row],[StartDatum]])</f>
        <v>-</v>
      </c>
      <c r="N952" s="4"/>
      <c r="O952">
        <f t="shared" si="84"/>
        <v>108</v>
      </c>
      <c r="P952">
        <f t="shared" si="84"/>
        <v>121</v>
      </c>
      <c r="Q952">
        <f t="shared" si="84"/>
        <v>115</v>
      </c>
      <c r="R952">
        <f t="shared" si="84"/>
        <v>97</v>
      </c>
      <c r="S952">
        <f t="shared" si="84"/>
        <v>110</v>
      </c>
      <c r="T952">
        <f t="shared" si="84"/>
        <v>110</v>
      </c>
      <c r="U952">
        <f t="shared" si="84"/>
        <v>101</v>
      </c>
      <c r="V952">
        <f t="shared" si="84"/>
        <v>46</v>
      </c>
      <c r="W952" s="5">
        <f t="shared" si="85"/>
        <v>905</v>
      </c>
      <c r="X952" s="9" t="str">
        <f t="shared" si="86"/>
        <v>y905</v>
      </c>
    </row>
    <row r="953" spans="1:24" x14ac:dyDescent="0.2">
      <c r="A953" s="9" t="s">
        <v>425</v>
      </c>
      <c r="B953" s="9">
        <v>3</v>
      </c>
      <c r="C953" s="25">
        <v>1</v>
      </c>
      <c r="D953" s="25"/>
      <c r="E953" s="23">
        <v>45334</v>
      </c>
      <c r="F953" s="23" t="s">
        <v>283</v>
      </c>
      <c r="G953" s="25" t="s">
        <v>302</v>
      </c>
      <c r="H953" s="24">
        <v>0</v>
      </c>
      <c r="I953" s="25" t="s">
        <v>8</v>
      </c>
      <c r="J953" s="32" t="s">
        <v>7</v>
      </c>
      <c r="K953" s="24" t="s">
        <v>9</v>
      </c>
      <c r="L953" s="25">
        <f t="shared" si="80"/>
        <v>697</v>
      </c>
      <c r="M953" s="4" t="str">
        <f>IF(Table3[[#This Row],[Afrondingsdatum YB]]="N/A","-",Table3[[#This Row],[Afrondingsdatum YB]]-Table3[[#This Row],[StartDatum]])</f>
        <v>-</v>
      </c>
      <c r="N953" s="4"/>
      <c r="O953">
        <f t="shared" si="84"/>
        <v>109</v>
      </c>
      <c r="P953">
        <f t="shared" si="84"/>
        <v>101</v>
      </c>
      <c r="Q953">
        <f t="shared" si="84"/>
        <v>108</v>
      </c>
      <c r="R953">
        <f t="shared" si="84"/>
        <v>118</v>
      </c>
      <c r="S953">
        <f t="shared" si="84"/>
        <v>105</v>
      </c>
      <c r="T953">
        <f t="shared" si="84"/>
        <v>110</v>
      </c>
      <c r="U953">
        <f t="shared" si="84"/>
        <v>46</v>
      </c>
      <c r="V953">
        <f t="shared" si="84"/>
        <v>98</v>
      </c>
      <c r="W953" s="5">
        <f t="shared" si="85"/>
        <v>872</v>
      </c>
      <c r="X953" s="9" t="str">
        <f t="shared" si="86"/>
        <v>e872</v>
      </c>
    </row>
    <row r="954" spans="1:24" x14ac:dyDescent="0.2">
      <c r="A954" s="9" t="s">
        <v>425</v>
      </c>
      <c r="B954" s="9">
        <v>3</v>
      </c>
      <c r="C954" s="25">
        <v>1</v>
      </c>
      <c r="D954" s="25"/>
      <c r="E954" s="23">
        <v>45334</v>
      </c>
      <c r="F954" s="23" t="s">
        <v>283</v>
      </c>
      <c r="G954" s="25" t="s">
        <v>303</v>
      </c>
      <c r="H954" s="24">
        <v>0</v>
      </c>
      <c r="I954" s="25" t="s">
        <v>8</v>
      </c>
      <c r="J954" s="32" t="s">
        <v>7</v>
      </c>
      <c r="K954" s="24" t="s">
        <v>9</v>
      </c>
      <c r="L954" s="25">
        <f t="shared" si="80"/>
        <v>691</v>
      </c>
      <c r="M954" s="4" t="str">
        <f>IF(Table3[[#This Row],[Afrondingsdatum YB]]="N/A","-",Table3[[#This Row],[Afrondingsdatum YB]]-Table3[[#This Row],[StartDatum]])</f>
        <v>-</v>
      </c>
      <c r="N954" s="4"/>
      <c r="O954">
        <f t="shared" si="84"/>
        <v>109</v>
      </c>
      <c r="P954">
        <f t="shared" si="84"/>
        <v>111</v>
      </c>
      <c r="Q954">
        <f t="shared" si="84"/>
        <v>104</v>
      </c>
      <c r="R954">
        <f t="shared" si="84"/>
        <v>105</v>
      </c>
      <c r="S954">
        <f t="shared" si="84"/>
        <v>116</v>
      </c>
      <c r="T954">
        <f t="shared" si="84"/>
        <v>46</v>
      </c>
      <c r="U954">
        <f t="shared" si="84"/>
        <v>100</v>
      </c>
      <c r="V954">
        <f t="shared" si="84"/>
        <v>97</v>
      </c>
      <c r="W954" s="5">
        <f t="shared" si="85"/>
        <v>862</v>
      </c>
      <c r="X954" s="9" t="str">
        <f t="shared" si="86"/>
        <v>o862</v>
      </c>
    </row>
    <row r="955" spans="1:24" x14ac:dyDescent="0.2">
      <c r="A955" s="9" t="s">
        <v>425</v>
      </c>
      <c r="B955" s="9">
        <v>3</v>
      </c>
      <c r="C955" s="25">
        <v>1</v>
      </c>
      <c r="D955" s="25"/>
      <c r="E955" s="23">
        <v>45334</v>
      </c>
      <c r="F955" s="23" t="s">
        <v>280</v>
      </c>
      <c r="G955" s="25" t="s">
        <v>304</v>
      </c>
      <c r="H955" s="24">
        <v>0</v>
      </c>
      <c r="I955" s="25" t="s">
        <v>8</v>
      </c>
      <c r="J955" s="32" t="s">
        <v>7</v>
      </c>
      <c r="K955" s="24" t="s">
        <v>9</v>
      </c>
      <c r="L955" s="25">
        <f t="shared" si="80"/>
        <v>706</v>
      </c>
      <c r="M955" s="4" t="str">
        <f>IF(Table3[[#This Row],[Afrondingsdatum YB]]="N/A","-",Table3[[#This Row],[Afrondingsdatum YB]]-Table3[[#This Row],[StartDatum]])</f>
        <v>-</v>
      </c>
      <c r="N955" s="4"/>
      <c r="O955">
        <f t="shared" si="84"/>
        <v>109</v>
      </c>
      <c r="P955">
        <f t="shared" si="84"/>
        <v>111</v>
      </c>
      <c r="Q955">
        <f t="shared" si="84"/>
        <v>108</v>
      </c>
      <c r="R955">
        <f t="shared" si="84"/>
        <v>105</v>
      </c>
      <c r="S955">
        <f t="shared" si="84"/>
        <v>116</v>
      </c>
      <c r="T955">
        <f t="shared" si="84"/>
        <v>111</v>
      </c>
      <c r="U955">
        <f t="shared" si="84"/>
        <v>46</v>
      </c>
      <c r="V955">
        <f t="shared" si="84"/>
        <v>102</v>
      </c>
      <c r="W955" s="5">
        <f t="shared" si="85"/>
        <v>890</v>
      </c>
      <c r="X955" s="9" t="str">
        <f t="shared" si="86"/>
        <v>o890</v>
      </c>
    </row>
    <row r="956" spans="1:24" x14ac:dyDescent="0.2">
      <c r="A956" s="9" t="s">
        <v>425</v>
      </c>
      <c r="B956" s="9">
        <v>3</v>
      </c>
      <c r="C956" s="25">
        <v>1</v>
      </c>
      <c r="D956" s="25"/>
      <c r="E956" s="23">
        <v>45334</v>
      </c>
      <c r="F956" s="23" t="s">
        <v>283</v>
      </c>
      <c r="G956" s="25" t="s">
        <v>305</v>
      </c>
      <c r="H956" s="24">
        <v>0</v>
      </c>
      <c r="I956" s="25" t="s">
        <v>8</v>
      </c>
      <c r="J956" s="32" t="s">
        <v>7</v>
      </c>
      <c r="K956" s="24" t="s">
        <v>9</v>
      </c>
      <c r="L956" s="25">
        <f t="shared" si="80"/>
        <v>726</v>
      </c>
      <c r="M956" s="4" t="str">
        <f>IF(Table3[[#This Row],[Afrondingsdatum YB]]="N/A","-",Table3[[#This Row],[Afrondingsdatum YB]]-Table3[[#This Row],[StartDatum]])</f>
        <v>-</v>
      </c>
      <c r="N956" s="4"/>
      <c r="O956">
        <f t="shared" si="84"/>
        <v>77</v>
      </c>
      <c r="P956">
        <f t="shared" si="84"/>
        <v>117</v>
      </c>
      <c r="Q956">
        <f t="shared" si="84"/>
        <v>100</v>
      </c>
      <c r="R956">
        <f t="shared" si="84"/>
        <v>97</v>
      </c>
      <c r="S956">
        <f t="shared" si="84"/>
        <v>115</v>
      </c>
      <c r="T956">
        <f t="shared" si="84"/>
        <v>115</v>
      </c>
      <c r="U956">
        <f t="shared" si="84"/>
        <v>105</v>
      </c>
      <c r="V956">
        <f t="shared" si="84"/>
        <v>114</v>
      </c>
      <c r="W956" s="5">
        <f t="shared" si="85"/>
        <v>909</v>
      </c>
      <c r="X956" s="9" t="str">
        <f t="shared" si="86"/>
        <v>u909</v>
      </c>
    </row>
    <row r="957" spans="1:24" x14ac:dyDescent="0.2">
      <c r="A957" s="9" t="s">
        <v>425</v>
      </c>
      <c r="B957" s="9">
        <v>3</v>
      </c>
      <c r="C957" s="25">
        <v>1</v>
      </c>
      <c r="D957" s="25"/>
      <c r="E957" s="23">
        <v>45334</v>
      </c>
      <c r="F957" s="23" t="s">
        <v>280</v>
      </c>
      <c r="G957" s="25" t="s">
        <v>306</v>
      </c>
      <c r="H957" s="24">
        <v>0</v>
      </c>
      <c r="I957" s="25" t="s">
        <v>8</v>
      </c>
      <c r="J957" s="32" t="s">
        <v>7</v>
      </c>
      <c r="K957" s="24" t="s">
        <v>9</v>
      </c>
      <c r="L957" s="25">
        <f t="shared" si="80"/>
        <v>684</v>
      </c>
      <c r="M957" s="4" t="str">
        <f>IF(Table3[[#This Row],[Afrondingsdatum YB]]="N/A","-",Table3[[#This Row],[Afrondingsdatum YB]]-Table3[[#This Row],[StartDatum]])</f>
        <v>-</v>
      </c>
      <c r="N957" s="4"/>
      <c r="O957">
        <f t="shared" si="84"/>
        <v>110</v>
      </c>
      <c r="P957">
        <f t="shared" si="84"/>
        <v>97</v>
      </c>
      <c r="Q957">
        <f t="shared" si="84"/>
        <v>114</v>
      </c>
      <c r="R957">
        <f t="shared" si="84"/>
        <v>101</v>
      </c>
      <c r="S957">
        <f t="shared" si="84"/>
        <v>107</v>
      </c>
      <c r="T957">
        <f t="shared" si="84"/>
        <v>46</v>
      </c>
      <c r="U957">
        <f t="shared" si="84"/>
        <v>109</v>
      </c>
      <c r="V957">
        <f t="shared" si="84"/>
        <v>97</v>
      </c>
      <c r="W957" s="5">
        <f t="shared" si="85"/>
        <v>885</v>
      </c>
      <c r="X957" s="9" t="str">
        <f t="shared" si="86"/>
        <v>a885</v>
      </c>
    </row>
    <row r="958" spans="1:24" x14ac:dyDescent="0.2">
      <c r="A958" s="9" t="s">
        <v>425</v>
      </c>
      <c r="B958" s="9">
        <v>3</v>
      </c>
      <c r="C958" s="25">
        <v>1</v>
      </c>
      <c r="D958" s="25"/>
      <c r="E958" s="23">
        <v>45334</v>
      </c>
      <c r="F958" s="23" t="s">
        <v>283</v>
      </c>
      <c r="G958" s="25" t="s">
        <v>307</v>
      </c>
      <c r="H958" s="24">
        <v>0</v>
      </c>
      <c r="I958" s="25" t="s">
        <v>8</v>
      </c>
      <c r="J958" s="32" t="s">
        <v>7</v>
      </c>
      <c r="K958" s="24" t="s">
        <v>9</v>
      </c>
      <c r="L958" s="25">
        <f t="shared" si="80"/>
        <v>695</v>
      </c>
      <c r="M958" s="4" t="str">
        <f>IF(Table3[[#This Row],[Afrondingsdatum YB]]="N/A","-",Table3[[#This Row],[Afrondingsdatum YB]]-Table3[[#This Row],[StartDatum]])</f>
        <v>-</v>
      </c>
      <c r="N958" s="4"/>
      <c r="O958">
        <f t="shared" si="84"/>
        <v>114</v>
      </c>
      <c r="P958">
        <f t="shared" si="84"/>
        <v>101</v>
      </c>
      <c r="Q958">
        <f t="shared" si="84"/>
        <v>109</v>
      </c>
      <c r="R958">
        <f t="shared" si="84"/>
        <v>121</v>
      </c>
      <c r="S958">
        <f t="shared" si="84"/>
        <v>46</v>
      </c>
      <c r="T958">
        <f t="shared" si="84"/>
        <v>97</v>
      </c>
      <c r="U958">
        <f t="shared" si="84"/>
        <v>107</v>
      </c>
      <c r="V958">
        <f t="shared" si="84"/>
        <v>98</v>
      </c>
      <c r="W958" s="5">
        <f t="shared" si="85"/>
        <v>870</v>
      </c>
      <c r="X958" s="9" t="str">
        <f t="shared" si="86"/>
        <v>e870</v>
      </c>
    </row>
    <row r="959" spans="1:24" x14ac:dyDescent="0.2">
      <c r="A959" s="9" t="s">
        <v>425</v>
      </c>
      <c r="B959" s="9">
        <v>3</v>
      </c>
      <c r="C959" s="25">
        <v>1</v>
      </c>
      <c r="D959" s="25"/>
      <c r="E959" s="23">
        <v>45334</v>
      </c>
      <c r="F959" s="23" t="s">
        <v>280</v>
      </c>
      <c r="G959" s="25" t="s">
        <v>308</v>
      </c>
      <c r="H959" s="24">
        <v>0</v>
      </c>
      <c r="I959" s="25" t="s">
        <v>8</v>
      </c>
      <c r="J959" s="32" t="s">
        <v>7</v>
      </c>
      <c r="K959" s="24" t="s">
        <v>9</v>
      </c>
      <c r="L959" s="25">
        <f t="shared" si="80"/>
        <v>712</v>
      </c>
      <c r="M959" s="4" t="str">
        <f>IF(Table3[[#This Row],[Afrondingsdatum YB]]="N/A","-",Table3[[#This Row],[Afrondingsdatum YB]]-Table3[[#This Row],[StartDatum]])</f>
        <v>-</v>
      </c>
      <c r="N959" s="4"/>
      <c r="O959">
        <f t="shared" si="84"/>
        <v>114</v>
      </c>
      <c r="P959">
        <f t="shared" si="84"/>
        <v>111</v>
      </c>
      <c r="Q959">
        <f t="shared" si="84"/>
        <v>119</v>
      </c>
      <c r="R959">
        <f t="shared" si="84"/>
        <v>97</v>
      </c>
      <c r="S959">
        <f t="shared" si="84"/>
        <v>110</v>
      </c>
      <c r="T959">
        <f t="shared" si="84"/>
        <v>46</v>
      </c>
      <c r="U959">
        <f t="shared" si="84"/>
        <v>115</v>
      </c>
      <c r="V959">
        <f t="shared" si="84"/>
        <v>97</v>
      </c>
      <c r="W959" s="5">
        <f t="shared" si="85"/>
        <v>919</v>
      </c>
      <c r="X959" s="9" t="str">
        <f t="shared" si="86"/>
        <v>o919</v>
      </c>
    </row>
    <row r="960" spans="1:24" x14ac:dyDescent="0.2">
      <c r="A960" s="9" t="s">
        <v>425</v>
      </c>
      <c r="B960" s="9">
        <v>3</v>
      </c>
      <c r="C960" s="25">
        <v>1</v>
      </c>
      <c r="D960" s="25"/>
      <c r="E960" s="23">
        <v>45334</v>
      </c>
      <c r="F960" s="23" t="s">
        <v>283</v>
      </c>
      <c r="G960" s="25" t="s">
        <v>309</v>
      </c>
      <c r="H960" s="24">
        <v>0</v>
      </c>
      <c r="I960" s="25" t="s">
        <v>8</v>
      </c>
      <c r="J960" s="32" t="s">
        <v>7</v>
      </c>
      <c r="K960" s="24" t="s">
        <v>9</v>
      </c>
      <c r="L960" s="25">
        <f t="shared" si="80"/>
        <v>736</v>
      </c>
      <c r="M960" s="4" t="str">
        <f>IF(Table3[[#This Row],[Afrondingsdatum YB]]="N/A","-",Table3[[#This Row],[Afrondingsdatum YB]]-Table3[[#This Row],[StartDatum]])</f>
        <v>-</v>
      </c>
      <c r="N960" s="4"/>
      <c r="O960">
        <f t="shared" si="84"/>
        <v>115</v>
      </c>
      <c r="P960">
        <f t="shared" si="84"/>
        <v>97</v>
      </c>
      <c r="Q960">
        <f t="shared" si="84"/>
        <v>121</v>
      </c>
      <c r="R960">
        <f t="shared" si="84"/>
        <v>102</v>
      </c>
      <c r="S960">
        <f t="shared" si="84"/>
        <v>101</v>
      </c>
      <c r="T960">
        <f t="shared" si="84"/>
        <v>100</v>
      </c>
      <c r="U960">
        <f t="shared" si="84"/>
        <v>100</v>
      </c>
      <c r="V960">
        <f t="shared" si="84"/>
        <v>105</v>
      </c>
      <c r="W960" s="5">
        <f t="shared" si="85"/>
        <v>958</v>
      </c>
      <c r="X960" s="9" t="str">
        <f t="shared" si="86"/>
        <v>a958</v>
      </c>
    </row>
    <row r="961" spans="1:24" x14ac:dyDescent="0.2">
      <c r="A961" s="9" t="s">
        <v>425</v>
      </c>
      <c r="B961" s="9">
        <v>3</v>
      </c>
      <c r="C961" s="25">
        <v>1</v>
      </c>
      <c r="D961" s="25"/>
      <c r="E961" s="23">
        <v>45334</v>
      </c>
      <c r="F961" s="23" t="s">
        <v>283</v>
      </c>
      <c r="G961" s="25" t="s">
        <v>310</v>
      </c>
      <c r="H961" s="24">
        <v>0</v>
      </c>
      <c r="I961" s="25" t="s">
        <v>8</v>
      </c>
      <c r="J961" s="32" t="s">
        <v>7</v>
      </c>
      <c r="K961" s="24" t="s">
        <v>9</v>
      </c>
      <c r="L961" s="25">
        <f t="shared" si="80"/>
        <v>724</v>
      </c>
      <c r="M961" s="4" t="str">
        <f>IF(Table3[[#This Row],[Afrondingsdatum YB]]="N/A","-",Table3[[#This Row],[Afrondingsdatum YB]]-Table3[[#This Row],[StartDatum]])</f>
        <v>-</v>
      </c>
      <c r="N961" s="4"/>
      <c r="O961">
        <f t="shared" si="84"/>
        <v>116</v>
      </c>
      <c r="P961">
        <f t="shared" si="84"/>
        <v>111</v>
      </c>
      <c r="Q961">
        <f t="shared" si="84"/>
        <v>109</v>
      </c>
      <c r="R961">
        <f t="shared" si="84"/>
        <v>109</v>
      </c>
      <c r="S961">
        <f t="shared" si="84"/>
        <v>121</v>
      </c>
      <c r="T961">
        <f t="shared" si="84"/>
        <v>46</v>
      </c>
      <c r="U961">
        <f t="shared" si="84"/>
        <v>112</v>
      </c>
      <c r="V961">
        <f t="shared" si="84"/>
        <v>111</v>
      </c>
      <c r="W961" s="5">
        <f t="shared" si="85"/>
        <v>916</v>
      </c>
      <c r="X961" s="9" t="str">
        <f t="shared" si="86"/>
        <v>o916</v>
      </c>
    </row>
    <row r="962" spans="1:24" x14ac:dyDescent="0.2">
      <c r="A962" s="9" t="s">
        <v>425</v>
      </c>
      <c r="B962" s="9">
        <v>3</v>
      </c>
      <c r="C962" s="25">
        <v>1</v>
      </c>
      <c r="D962" s="25"/>
      <c r="E962" s="23">
        <v>45334</v>
      </c>
      <c r="F962" s="23" t="s">
        <v>280</v>
      </c>
      <c r="G962" s="25" t="s">
        <v>311</v>
      </c>
      <c r="H962" s="24">
        <v>0</v>
      </c>
      <c r="I962" s="25" t="s">
        <v>8</v>
      </c>
      <c r="J962" s="32" t="s">
        <v>7</v>
      </c>
      <c r="K962" s="24" t="s">
        <v>9</v>
      </c>
      <c r="L962" s="25">
        <f t="shared" ref="L962:L1025" si="87">SUM(O962:U962)</f>
        <v>758</v>
      </c>
      <c r="M962" s="4" t="str">
        <f>IF(Table3[[#This Row],[Afrondingsdatum YB]]="N/A","-",Table3[[#This Row],[Afrondingsdatum YB]]-Table3[[#This Row],[StartDatum]])</f>
        <v>-</v>
      </c>
      <c r="N962" s="4"/>
      <c r="O962">
        <f t="shared" si="84"/>
        <v>121</v>
      </c>
      <c r="P962">
        <f t="shared" si="84"/>
        <v>97</v>
      </c>
      <c r="Q962">
        <f t="shared" si="84"/>
        <v>115</v>
      </c>
      <c r="R962">
        <f t="shared" si="84"/>
        <v>109</v>
      </c>
      <c r="S962">
        <f t="shared" si="84"/>
        <v>105</v>
      </c>
      <c r="T962">
        <f t="shared" si="84"/>
        <v>110</v>
      </c>
      <c r="U962">
        <f t="shared" si="84"/>
        <v>101</v>
      </c>
      <c r="V962">
        <f t="shared" si="84"/>
        <v>46</v>
      </c>
      <c r="W962" s="5">
        <f t="shared" si="85"/>
        <v>904</v>
      </c>
      <c r="X962" s="9" t="str">
        <f t="shared" si="86"/>
        <v>a904</v>
      </c>
    </row>
    <row r="963" spans="1:24" x14ac:dyDescent="0.2">
      <c r="A963" s="9" t="s">
        <v>425</v>
      </c>
      <c r="B963" s="9">
        <v>3</v>
      </c>
      <c r="C963" s="25">
        <v>1</v>
      </c>
      <c r="D963" s="25"/>
      <c r="E963" s="23">
        <v>45334</v>
      </c>
      <c r="F963" s="23" t="s">
        <v>283</v>
      </c>
      <c r="G963" s="25" t="s">
        <v>312</v>
      </c>
      <c r="H963" s="24">
        <v>0</v>
      </c>
      <c r="I963" s="25" t="s">
        <v>8</v>
      </c>
      <c r="J963" s="32" t="s">
        <v>7</v>
      </c>
      <c r="K963" s="24" t="s">
        <v>9</v>
      </c>
      <c r="L963" s="25">
        <f t="shared" si="87"/>
        <v>790</v>
      </c>
      <c r="M963" s="4" t="str">
        <f>IF(Table3[[#This Row],[Afrondingsdatum YB]]="N/A","-",Table3[[#This Row],[Afrondingsdatum YB]]-Table3[[#This Row],[StartDatum]])</f>
        <v>-</v>
      </c>
      <c r="N963" s="4"/>
      <c r="O963">
        <f t="shared" si="84"/>
        <v>121</v>
      </c>
      <c r="P963">
        <f t="shared" si="84"/>
        <v>111</v>
      </c>
      <c r="Q963">
        <f t="shared" si="84"/>
        <v>117</v>
      </c>
      <c r="R963">
        <f t="shared" si="84"/>
        <v>115</v>
      </c>
      <c r="S963">
        <f t="shared" si="84"/>
        <v>115</v>
      </c>
      <c r="T963">
        <f t="shared" si="84"/>
        <v>114</v>
      </c>
      <c r="U963">
        <f t="shared" si="84"/>
        <v>97</v>
      </c>
      <c r="V963">
        <f t="shared" si="84"/>
        <v>46</v>
      </c>
      <c r="W963" s="5">
        <f t="shared" si="85"/>
        <v>928</v>
      </c>
      <c r="X963" s="9" t="str">
        <f t="shared" si="86"/>
        <v>o928</v>
      </c>
    </row>
    <row r="964" spans="1:24" x14ac:dyDescent="0.2">
      <c r="A964" s="9" t="s">
        <v>425</v>
      </c>
      <c r="B964" s="9">
        <v>3</v>
      </c>
      <c r="C964" s="25">
        <v>2</v>
      </c>
      <c r="D964" s="25"/>
      <c r="E964" s="23">
        <v>45341</v>
      </c>
      <c r="F964" s="23" t="s">
        <v>280</v>
      </c>
      <c r="G964" s="25" t="s">
        <v>281</v>
      </c>
      <c r="H964" s="24">
        <v>0.14000000000000001</v>
      </c>
      <c r="I964" s="25" t="s">
        <v>174</v>
      </c>
      <c r="J964" s="32" t="s">
        <v>7</v>
      </c>
      <c r="K964" s="24" t="s">
        <v>9</v>
      </c>
      <c r="L964" s="25">
        <f t="shared" si="87"/>
        <v>717</v>
      </c>
      <c r="M964" s="4" t="str">
        <f>IF(Table3[[#This Row],[Afrondingsdatum YB]]="N/A","-",Table3[[#This Row],[Afrondingsdatum YB]]-Table3[[#This Row],[StartDatum]])</f>
        <v>-</v>
      </c>
      <c r="N964" s="4"/>
      <c r="O964">
        <f t="shared" si="84"/>
        <v>97</v>
      </c>
      <c r="P964">
        <f t="shared" si="84"/>
        <v>98</v>
      </c>
      <c r="Q964">
        <f t="shared" si="84"/>
        <v>100</v>
      </c>
      <c r="R964">
        <f t="shared" si="84"/>
        <v>101</v>
      </c>
      <c r="S964">
        <f t="shared" si="84"/>
        <v>108</v>
      </c>
      <c r="T964">
        <f t="shared" si="84"/>
        <v>105</v>
      </c>
      <c r="U964">
        <f t="shared" si="84"/>
        <v>108</v>
      </c>
      <c r="V964">
        <f t="shared" si="84"/>
        <v>97</v>
      </c>
      <c r="W964" s="5">
        <f t="shared" si="85"/>
        <v>889</v>
      </c>
      <c r="X964" s="9" t="str">
        <f t="shared" si="86"/>
        <v>b889</v>
      </c>
    </row>
    <row r="965" spans="1:24" x14ac:dyDescent="0.2">
      <c r="A965" s="9" t="s">
        <v>425</v>
      </c>
      <c r="B965" s="9">
        <v>3</v>
      </c>
      <c r="C965" s="25">
        <v>2</v>
      </c>
      <c r="D965" s="25"/>
      <c r="E965" s="23">
        <v>45341</v>
      </c>
      <c r="F965" s="23" t="s">
        <v>280</v>
      </c>
      <c r="G965" s="25" t="s">
        <v>282</v>
      </c>
      <c r="H965" s="24">
        <v>0</v>
      </c>
      <c r="I965" s="25" t="s">
        <v>8</v>
      </c>
      <c r="J965" s="32" t="s">
        <v>7</v>
      </c>
      <c r="K965" s="24" t="s">
        <v>9</v>
      </c>
      <c r="L965" s="25">
        <f t="shared" si="87"/>
        <v>675</v>
      </c>
      <c r="M965" s="4" t="str">
        <f>IF(Table3[[#This Row],[Afrondingsdatum YB]]="N/A","-",Table3[[#This Row],[Afrondingsdatum YB]]-Table3[[#This Row],[StartDatum]])</f>
        <v>-</v>
      </c>
      <c r="N965" s="4"/>
      <c r="O965">
        <f t="shared" si="84"/>
        <v>97</v>
      </c>
      <c r="P965">
        <f t="shared" si="84"/>
        <v>104</v>
      </c>
      <c r="Q965">
        <f t="shared" si="84"/>
        <v>109</v>
      </c>
      <c r="R965">
        <f t="shared" si="84"/>
        <v>97</v>
      </c>
      <c r="S965">
        <f t="shared" si="84"/>
        <v>100</v>
      </c>
      <c r="T965">
        <f t="shared" si="84"/>
        <v>46</v>
      </c>
      <c r="U965">
        <f t="shared" si="84"/>
        <v>122</v>
      </c>
      <c r="V965">
        <f t="shared" si="84"/>
        <v>97</v>
      </c>
      <c r="W965" s="5">
        <f t="shared" si="85"/>
        <v>865</v>
      </c>
      <c r="X965" s="9" t="str">
        <f t="shared" si="86"/>
        <v>h865</v>
      </c>
    </row>
    <row r="966" spans="1:24" x14ac:dyDescent="0.2">
      <c r="A966" s="9" t="s">
        <v>425</v>
      </c>
      <c r="B966" s="9">
        <v>3</v>
      </c>
      <c r="C966" s="25">
        <v>2</v>
      </c>
      <c r="D966" s="25"/>
      <c r="E966" s="23">
        <v>45341</v>
      </c>
      <c r="F966" s="23" t="s">
        <v>283</v>
      </c>
      <c r="G966" s="25" t="s">
        <v>284</v>
      </c>
      <c r="H966" s="24">
        <v>0</v>
      </c>
      <c r="I966" s="25" t="s">
        <v>8</v>
      </c>
      <c r="J966" s="32" t="s">
        <v>7</v>
      </c>
      <c r="K966" s="24" t="s">
        <v>9</v>
      </c>
      <c r="L966" s="25">
        <f t="shared" si="87"/>
        <v>656</v>
      </c>
      <c r="M966" s="4" t="str">
        <f>IF(Table3[[#This Row],[Afrondingsdatum YB]]="N/A","-",Table3[[#This Row],[Afrondingsdatum YB]]-Table3[[#This Row],[StartDatum]])</f>
        <v>-</v>
      </c>
      <c r="N966" s="4"/>
      <c r="O966">
        <f t="shared" si="84"/>
        <v>65</v>
      </c>
      <c r="P966">
        <f t="shared" si="84"/>
        <v>104</v>
      </c>
      <c r="Q966">
        <f t="shared" si="84"/>
        <v>109</v>
      </c>
      <c r="R966">
        <f t="shared" si="84"/>
        <v>101</v>
      </c>
      <c r="S966">
        <f t="shared" si="84"/>
        <v>116</v>
      </c>
      <c r="T966">
        <f t="shared" si="84"/>
        <v>46</v>
      </c>
      <c r="U966">
        <f t="shared" si="84"/>
        <v>115</v>
      </c>
      <c r="V966">
        <f t="shared" si="84"/>
        <v>101</v>
      </c>
      <c r="W966" s="5">
        <f t="shared" si="85"/>
        <v>847</v>
      </c>
      <c r="X966" s="9" t="str">
        <f t="shared" si="86"/>
        <v>h847</v>
      </c>
    </row>
    <row r="967" spans="1:24" x14ac:dyDescent="0.2">
      <c r="A967" s="9" t="s">
        <v>425</v>
      </c>
      <c r="B967" s="9">
        <v>3</v>
      </c>
      <c r="C967" s="25">
        <v>2</v>
      </c>
      <c r="D967" s="25"/>
      <c r="E967" s="23">
        <v>45341</v>
      </c>
      <c r="F967" s="23" t="s">
        <v>283</v>
      </c>
      <c r="G967" s="25" t="s">
        <v>285</v>
      </c>
      <c r="H967" s="24">
        <v>0</v>
      </c>
      <c r="I967" s="25" t="s">
        <v>8</v>
      </c>
      <c r="J967" s="32" t="s">
        <v>7</v>
      </c>
      <c r="K967" s="24" t="s">
        <v>9</v>
      </c>
      <c r="L967" s="25">
        <f t="shared" si="87"/>
        <v>747</v>
      </c>
      <c r="M967" s="4" t="str">
        <f>IF(Table3[[#This Row],[Afrondingsdatum YB]]="N/A","-",Table3[[#This Row],[Afrondingsdatum YB]]-Table3[[#This Row],[StartDatum]])</f>
        <v>-</v>
      </c>
      <c r="N967" s="4"/>
      <c r="O967">
        <f t="shared" si="84"/>
        <v>97</v>
      </c>
      <c r="P967">
        <f t="shared" si="84"/>
        <v>110</v>
      </c>
      <c r="Q967">
        <f t="shared" si="84"/>
        <v>97</v>
      </c>
      <c r="R967">
        <f t="shared" si="84"/>
        <v>115</v>
      </c>
      <c r="S967">
        <f t="shared" si="84"/>
        <v>116</v>
      </c>
      <c r="T967">
        <f t="shared" si="84"/>
        <v>97</v>
      </c>
      <c r="U967">
        <f t="shared" si="84"/>
        <v>115</v>
      </c>
      <c r="V967">
        <f t="shared" si="84"/>
        <v>105</v>
      </c>
      <c r="W967" s="5">
        <f t="shared" si="85"/>
        <v>905</v>
      </c>
      <c r="X967" s="9" t="str">
        <f t="shared" si="86"/>
        <v>n905</v>
      </c>
    </row>
    <row r="968" spans="1:24" x14ac:dyDescent="0.2">
      <c r="A968" s="9" t="s">
        <v>425</v>
      </c>
      <c r="B968" s="9">
        <v>3</v>
      </c>
      <c r="C968" s="25">
        <v>2</v>
      </c>
      <c r="D968" s="25"/>
      <c r="E968" s="23">
        <v>45341</v>
      </c>
      <c r="F968" s="23" t="s">
        <v>283</v>
      </c>
      <c r="G968" s="25" t="s">
        <v>286</v>
      </c>
      <c r="H968" s="24">
        <v>7.0000000000000007E-2</v>
      </c>
      <c r="I968" s="25" t="s">
        <v>91</v>
      </c>
      <c r="J968" s="32" t="s">
        <v>7</v>
      </c>
      <c r="K968" s="24" t="s">
        <v>9</v>
      </c>
      <c r="L968" s="25">
        <f t="shared" si="87"/>
        <v>645</v>
      </c>
      <c r="M968" s="4" t="str">
        <f>IF(Table3[[#This Row],[Afrondingsdatum YB]]="N/A","-",Table3[[#This Row],[Afrondingsdatum YB]]-Table3[[#This Row],[StartDatum]])</f>
        <v>-</v>
      </c>
      <c r="N968" s="4"/>
      <c r="O968">
        <f t="shared" si="84"/>
        <v>66</v>
      </c>
      <c r="P968">
        <f t="shared" si="84"/>
        <v>97</v>
      </c>
      <c r="Q968">
        <f t="shared" si="84"/>
        <v>115</v>
      </c>
      <c r="R968">
        <f t="shared" si="84"/>
        <v>46</v>
      </c>
      <c r="S968">
        <f t="shared" si="84"/>
        <v>107</v>
      </c>
      <c r="T968">
        <f t="shared" si="84"/>
        <v>105</v>
      </c>
      <c r="U968">
        <f t="shared" si="84"/>
        <v>109</v>
      </c>
      <c r="V968">
        <f t="shared" si="84"/>
        <v>109</v>
      </c>
      <c r="W968" s="5">
        <f t="shared" si="85"/>
        <v>901</v>
      </c>
      <c r="X968" s="9" t="str">
        <f t="shared" si="86"/>
        <v>a901</v>
      </c>
    </row>
    <row r="969" spans="1:24" x14ac:dyDescent="0.2">
      <c r="A969" s="9" t="s">
        <v>425</v>
      </c>
      <c r="B969" s="9">
        <v>3</v>
      </c>
      <c r="C969" s="25">
        <v>2</v>
      </c>
      <c r="D969" s="25"/>
      <c r="E969" s="23">
        <v>45341</v>
      </c>
      <c r="F969" s="23" t="s">
        <v>280</v>
      </c>
      <c r="G969" s="25" t="s">
        <v>287</v>
      </c>
      <c r="H969" s="24">
        <v>0</v>
      </c>
      <c r="I969" s="25" t="s">
        <v>8</v>
      </c>
      <c r="J969" s="32" t="s">
        <v>7</v>
      </c>
      <c r="K969" s="24" t="s">
        <v>9</v>
      </c>
      <c r="L969" s="25">
        <f t="shared" si="87"/>
        <v>666</v>
      </c>
      <c r="M969" s="4" t="str">
        <f>IF(Table3[[#This Row],[Afrondingsdatum YB]]="N/A","-",Table3[[#This Row],[Afrondingsdatum YB]]-Table3[[#This Row],[StartDatum]])</f>
        <v>-</v>
      </c>
      <c r="N969" s="4"/>
      <c r="O969">
        <f t="shared" si="84"/>
        <v>100</v>
      </c>
      <c r="P969">
        <f t="shared" si="84"/>
        <v>106</v>
      </c>
      <c r="Q969">
        <f t="shared" si="84"/>
        <v>97</v>
      </c>
      <c r="R969">
        <f t="shared" si="84"/>
        <v>98</v>
      </c>
      <c r="S969">
        <f t="shared" si="84"/>
        <v>105</v>
      </c>
      <c r="T969">
        <f t="shared" si="84"/>
        <v>114</v>
      </c>
      <c r="U969">
        <f t="shared" si="84"/>
        <v>46</v>
      </c>
      <c r="V969">
        <f t="shared" si="84"/>
        <v>104</v>
      </c>
      <c r="W969" s="5">
        <f t="shared" si="85"/>
        <v>838</v>
      </c>
      <c r="X969" s="9" t="str">
        <f t="shared" si="86"/>
        <v>j838</v>
      </c>
    </row>
    <row r="970" spans="1:24" x14ac:dyDescent="0.2">
      <c r="A970" s="9" t="s">
        <v>425</v>
      </c>
      <c r="B970" s="9">
        <v>3</v>
      </c>
      <c r="C970" s="25">
        <v>2</v>
      </c>
      <c r="D970" s="25"/>
      <c r="E970" s="23">
        <v>45341</v>
      </c>
      <c r="F970" s="23" t="s">
        <v>280</v>
      </c>
      <c r="G970" s="25" t="s">
        <v>288</v>
      </c>
      <c r="H970" s="24">
        <v>0</v>
      </c>
      <c r="I970" s="25" t="s">
        <v>8</v>
      </c>
      <c r="J970" s="32" t="s">
        <v>7</v>
      </c>
      <c r="K970" s="24" t="s">
        <v>9</v>
      </c>
      <c r="L970" s="25">
        <f t="shared" si="87"/>
        <v>682</v>
      </c>
      <c r="M970" s="4" t="str">
        <f>IF(Table3[[#This Row],[Afrondingsdatum YB]]="N/A","-",Table3[[#This Row],[Afrondingsdatum YB]]-Table3[[#This Row],[StartDatum]])</f>
        <v>-</v>
      </c>
      <c r="N970" s="4"/>
      <c r="O970">
        <f t="shared" si="84"/>
        <v>103</v>
      </c>
      <c r="P970">
        <f t="shared" si="84"/>
        <v>108</v>
      </c>
      <c r="Q970">
        <f t="shared" si="84"/>
        <v>101</v>
      </c>
      <c r="R970">
        <f t="shared" si="84"/>
        <v>110</v>
      </c>
      <c r="S970">
        <f t="shared" si="84"/>
        <v>110</v>
      </c>
      <c r="T970">
        <f t="shared" si="84"/>
        <v>46</v>
      </c>
      <c r="U970">
        <f t="shared" si="84"/>
        <v>104</v>
      </c>
      <c r="V970">
        <f t="shared" si="84"/>
        <v>101</v>
      </c>
      <c r="W970" s="5">
        <f t="shared" si="85"/>
        <v>849</v>
      </c>
      <c r="X970" s="9" t="str">
        <f t="shared" si="86"/>
        <v>l849</v>
      </c>
    </row>
    <row r="971" spans="1:24" x14ac:dyDescent="0.2">
      <c r="A971" s="9" t="s">
        <v>425</v>
      </c>
      <c r="B971" s="9">
        <v>3</v>
      </c>
      <c r="C971" s="25">
        <v>2</v>
      </c>
      <c r="D971" s="25"/>
      <c r="E971" s="23">
        <v>45341</v>
      </c>
      <c r="F971" s="23" t="s">
        <v>283</v>
      </c>
      <c r="G971" s="25" t="s">
        <v>289</v>
      </c>
      <c r="H971" s="24">
        <v>0</v>
      </c>
      <c r="I971" s="25" t="s">
        <v>8</v>
      </c>
      <c r="J971" s="32" t="s">
        <v>7</v>
      </c>
      <c r="K971" s="24" t="s">
        <v>9</v>
      </c>
      <c r="L971" s="25">
        <f t="shared" si="87"/>
        <v>675</v>
      </c>
      <c r="M971" s="4" t="str">
        <f>IF(Table3[[#This Row],[Afrondingsdatum YB]]="N/A","-",Table3[[#This Row],[Afrondingsdatum YB]]-Table3[[#This Row],[StartDatum]])</f>
        <v>-</v>
      </c>
      <c r="N971" s="4"/>
      <c r="O971">
        <f t="shared" si="84"/>
        <v>103</v>
      </c>
      <c r="P971">
        <f t="shared" si="84"/>
        <v>114</v>
      </c>
      <c r="Q971">
        <f t="shared" si="84"/>
        <v>97</v>
      </c>
      <c r="R971">
        <f t="shared" si="84"/>
        <v>99</v>
      </c>
      <c r="S971">
        <f t="shared" si="84"/>
        <v>101</v>
      </c>
      <c r="T971">
        <f t="shared" si="84"/>
        <v>46</v>
      </c>
      <c r="U971">
        <f t="shared" si="84"/>
        <v>115</v>
      </c>
      <c r="V971">
        <f t="shared" si="84"/>
        <v>101</v>
      </c>
      <c r="W971" s="5">
        <f t="shared" si="85"/>
        <v>839</v>
      </c>
      <c r="X971" s="9" t="str">
        <f t="shared" si="86"/>
        <v>r839</v>
      </c>
    </row>
    <row r="972" spans="1:24" x14ac:dyDescent="0.2">
      <c r="A972" s="9" t="s">
        <v>425</v>
      </c>
      <c r="B972" s="9">
        <v>3</v>
      </c>
      <c r="C972" s="25">
        <v>2</v>
      </c>
      <c r="D972" s="25"/>
      <c r="E972" s="23">
        <v>45341</v>
      </c>
      <c r="F972" s="23" t="s">
        <v>283</v>
      </c>
      <c r="G972" s="25" t="s">
        <v>290</v>
      </c>
      <c r="H972" s="24">
        <v>0.3</v>
      </c>
      <c r="I972" s="25" t="s">
        <v>251</v>
      </c>
      <c r="J972" s="32" t="s">
        <v>7</v>
      </c>
      <c r="K972" s="24" t="s">
        <v>9</v>
      </c>
      <c r="L972" s="25">
        <f t="shared" si="87"/>
        <v>677</v>
      </c>
      <c r="M972" s="4" t="str">
        <f>IF(Table3[[#This Row],[Afrondingsdatum YB]]="N/A","-",Table3[[#This Row],[Afrondingsdatum YB]]-Table3[[#This Row],[StartDatum]])</f>
        <v>-</v>
      </c>
      <c r="N972" s="4"/>
      <c r="O972">
        <f t="shared" si="84"/>
        <v>105</v>
      </c>
      <c r="P972">
        <f t="shared" si="84"/>
        <v>108</v>
      </c>
      <c r="Q972">
        <f t="shared" si="84"/>
        <v>105</v>
      </c>
      <c r="R972">
        <f t="shared" si="84"/>
        <v>97</v>
      </c>
      <c r="S972">
        <f t="shared" si="84"/>
        <v>115</v>
      </c>
      <c r="T972">
        <f t="shared" si="84"/>
        <v>46</v>
      </c>
      <c r="U972">
        <f t="shared" si="84"/>
        <v>101</v>
      </c>
      <c r="V972">
        <f t="shared" si="84"/>
        <v>108</v>
      </c>
      <c r="W972" s="5">
        <f t="shared" si="85"/>
        <v>868</v>
      </c>
      <c r="X972" s="9" t="str">
        <f t="shared" si="86"/>
        <v>l868</v>
      </c>
    </row>
    <row r="973" spans="1:24" x14ac:dyDescent="0.2">
      <c r="A973" s="9" t="s">
        <v>425</v>
      </c>
      <c r="B973" s="9">
        <v>3</v>
      </c>
      <c r="C973" s="25">
        <v>2</v>
      </c>
      <c r="D973" s="25"/>
      <c r="E973" s="23">
        <v>45341</v>
      </c>
      <c r="F973" s="23" t="s">
        <v>283</v>
      </c>
      <c r="G973" s="25" t="s">
        <v>291</v>
      </c>
      <c r="H973" s="24">
        <v>0</v>
      </c>
      <c r="I973" s="25" t="s">
        <v>8</v>
      </c>
      <c r="J973" s="32" t="s">
        <v>7</v>
      </c>
      <c r="K973" s="24" t="s">
        <v>9</v>
      </c>
      <c r="L973" s="25">
        <f t="shared" si="87"/>
        <v>638</v>
      </c>
      <c r="M973" s="4" t="str">
        <f>IF(Table3[[#This Row],[Afrondingsdatum YB]]="N/A","-",Table3[[#This Row],[Afrondingsdatum YB]]-Table3[[#This Row],[StartDatum]])</f>
        <v>-</v>
      </c>
      <c r="N973" s="4"/>
      <c r="O973">
        <f t="shared" si="84"/>
        <v>73</v>
      </c>
      <c r="P973">
        <f t="shared" si="84"/>
        <v>115</v>
      </c>
      <c r="Q973">
        <f t="shared" si="84"/>
        <v>97</v>
      </c>
      <c r="R973">
        <f t="shared" si="84"/>
        <v>98</v>
      </c>
      <c r="S973">
        <f t="shared" si="84"/>
        <v>101</v>
      </c>
      <c r="T973">
        <f t="shared" si="84"/>
        <v>108</v>
      </c>
      <c r="U973">
        <f t="shared" si="84"/>
        <v>46</v>
      </c>
      <c r="V973">
        <f t="shared" si="84"/>
        <v>109</v>
      </c>
      <c r="W973" s="5">
        <f t="shared" si="85"/>
        <v>810</v>
      </c>
      <c r="X973" s="9" t="str">
        <f t="shared" si="86"/>
        <v>s810</v>
      </c>
    </row>
    <row r="974" spans="1:24" x14ac:dyDescent="0.2">
      <c r="A974" s="9" t="s">
        <v>425</v>
      </c>
      <c r="B974" s="9">
        <v>3</v>
      </c>
      <c r="C974" s="25">
        <v>2</v>
      </c>
      <c r="D974" s="25"/>
      <c r="E974" s="23">
        <v>45341</v>
      </c>
      <c r="F974" s="23" t="s">
        <v>280</v>
      </c>
      <c r="G974" s="25" t="s">
        <v>292</v>
      </c>
      <c r="H974" s="24">
        <v>0</v>
      </c>
      <c r="I974" s="25" t="s">
        <v>8</v>
      </c>
      <c r="J974" s="32" t="s">
        <v>7</v>
      </c>
      <c r="K974" s="24" t="s">
        <v>9</v>
      </c>
      <c r="L974" s="25">
        <f t="shared" si="87"/>
        <v>673</v>
      </c>
      <c r="M974" s="4" t="str">
        <f>IF(Table3[[#This Row],[Afrondingsdatum YB]]="N/A","-",Table3[[#This Row],[Afrondingsdatum YB]]-Table3[[#This Row],[StartDatum]])</f>
        <v>-</v>
      </c>
      <c r="N974" s="4"/>
      <c r="O974">
        <f t="shared" si="84"/>
        <v>106</v>
      </c>
      <c r="P974">
        <f t="shared" si="84"/>
        <v>97</v>
      </c>
      <c r="Q974">
        <f t="shared" si="84"/>
        <v>105</v>
      </c>
      <c r="R974">
        <f t="shared" si="84"/>
        <v>114</v>
      </c>
      <c r="S974">
        <f t="shared" si="84"/>
        <v>46</v>
      </c>
      <c r="T974">
        <f t="shared" si="84"/>
        <v>104</v>
      </c>
      <c r="U974">
        <f t="shared" si="84"/>
        <v>101</v>
      </c>
      <c r="V974">
        <f t="shared" si="84"/>
        <v>107</v>
      </c>
      <c r="W974" s="5">
        <f t="shared" si="85"/>
        <v>856</v>
      </c>
      <c r="X974" s="9" t="str">
        <f t="shared" si="86"/>
        <v>a856</v>
      </c>
    </row>
    <row r="975" spans="1:24" x14ac:dyDescent="0.2">
      <c r="A975" s="9" t="s">
        <v>425</v>
      </c>
      <c r="B975" s="9">
        <v>3</v>
      </c>
      <c r="C975" s="25">
        <v>2</v>
      </c>
      <c r="D975" s="25"/>
      <c r="E975" s="23">
        <v>45341</v>
      </c>
      <c r="F975" s="23" t="s">
        <v>283</v>
      </c>
      <c r="G975" s="25" t="s">
        <v>293</v>
      </c>
      <c r="H975" s="24">
        <v>0</v>
      </c>
      <c r="I975" s="25" t="s">
        <v>8</v>
      </c>
      <c r="J975" s="32" t="s">
        <v>7</v>
      </c>
      <c r="K975" s="24" t="s">
        <v>9</v>
      </c>
      <c r="L975" s="25">
        <f t="shared" si="87"/>
        <v>692</v>
      </c>
      <c r="M975" s="4" t="str">
        <f>IF(Table3[[#This Row],[Afrondingsdatum YB]]="N/A","-",Table3[[#This Row],[Afrondingsdatum YB]]-Table3[[#This Row],[StartDatum]])</f>
        <v>-</v>
      </c>
      <c r="N975" s="4"/>
      <c r="O975">
        <f t="shared" si="84"/>
        <v>106</v>
      </c>
      <c r="P975">
        <f t="shared" si="84"/>
        <v>101</v>
      </c>
      <c r="Q975">
        <f t="shared" si="84"/>
        <v>115</v>
      </c>
      <c r="R975">
        <f t="shared" si="84"/>
        <v>115</v>
      </c>
      <c r="S975">
        <f t="shared" si="84"/>
        <v>101</v>
      </c>
      <c r="T975">
        <f t="shared" si="84"/>
        <v>46</v>
      </c>
      <c r="U975">
        <f t="shared" si="84"/>
        <v>108</v>
      </c>
      <c r="V975">
        <f t="shared" si="84"/>
        <v>101</v>
      </c>
      <c r="W975" s="5">
        <f t="shared" si="85"/>
        <v>886</v>
      </c>
      <c r="X975" s="9" t="str">
        <f t="shared" si="86"/>
        <v>e886</v>
      </c>
    </row>
    <row r="976" spans="1:24" x14ac:dyDescent="0.2">
      <c r="A976" s="9" t="s">
        <v>425</v>
      </c>
      <c r="B976" s="9">
        <v>3</v>
      </c>
      <c r="C976" s="25">
        <v>2</v>
      </c>
      <c r="D976" s="25"/>
      <c r="E976" s="23">
        <v>45341</v>
      </c>
      <c r="F976" s="23" t="s">
        <v>283</v>
      </c>
      <c r="G976" s="25" t="s">
        <v>294</v>
      </c>
      <c r="H976" s="24">
        <v>0</v>
      </c>
      <c r="I976" s="25" t="s">
        <v>8</v>
      </c>
      <c r="J976" s="32" t="s">
        <v>7</v>
      </c>
      <c r="K976" s="24" t="s">
        <v>9</v>
      </c>
      <c r="L976" s="25">
        <f t="shared" si="87"/>
        <v>681</v>
      </c>
      <c r="M976" s="4" t="str">
        <f>IF(Table3[[#This Row],[Afrondingsdatum YB]]="N/A","-",Table3[[#This Row],[Afrondingsdatum YB]]-Table3[[#This Row],[StartDatum]])</f>
        <v>-</v>
      </c>
      <c r="N976" s="4"/>
      <c r="O976">
        <f t="shared" si="84"/>
        <v>106</v>
      </c>
      <c r="P976">
        <f t="shared" si="84"/>
        <v>111</v>
      </c>
      <c r="Q976">
        <f t="shared" si="84"/>
        <v>114</v>
      </c>
      <c r="R976">
        <f t="shared" si="84"/>
        <v>100</v>
      </c>
      <c r="S976">
        <f t="shared" ref="O976:V1008" si="88">CODE(MID($G976,S$1,1))</f>
        <v>46</v>
      </c>
      <c r="T976">
        <f t="shared" si="88"/>
        <v>107</v>
      </c>
      <c r="U976">
        <f t="shared" si="88"/>
        <v>97</v>
      </c>
      <c r="V976">
        <f t="shared" si="88"/>
        <v>114</v>
      </c>
      <c r="W976" s="5">
        <f t="shared" si="85"/>
        <v>893</v>
      </c>
      <c r="X976" s="9" t="str">
        <f t="shared" si="86"/>
        <v>o893</v>
      </c>
    </row>
    <row r="977" spans="1:24" x14ac:dyDescent="0.2">
      <c r="A977" s="9" t="s">
        <v>425</v>
      </c>
      <c r="B977" s="9">
        <v>3</v>
      </c>
      <c r="C977" s="25">
        <v>2</v>
      </c>
      <c r="D977" s="25"/>
      <c r="E977" s="23">
        <v>45341</v>
      </c>
      <c r="F977" s="23" t="s">
        <v>280</v>
      </c>
      <c r="G977" s="25" t="s">
        <v>295</v>
      </c>
      <c r="H977" s="24">
        <v>0</v>
      </c>
      <c r="I977" s="25" t="s">
        <v>8</v>
      </c>
      <c r="J977" s="32" t="s">
        <v>7</v>
      </c>
      <c r="K977" s="24" t="s">
        <v>9</v>
      </c>
      <c r="L977" s="25">
        <f t="shared" si="87"/>
        <v>691</v>
      </c>
      <c r="M977" s="4" t="str">
        <f>IF(Table3[[#This Row],[Afrondingsdatum YB]]="N/A","-",Table3[[#This Row],[Afrondingsdatum YB]]-Table3[[#This Row],[StartDatum]])</f>
        <v>-</v>
      </c>
      <c r="N977" s="4"/>
      <c r="O977">
        <f t="shared" si="88"/>
        <v>106</v>
      </c>
      <c r="P977">
        <f t="shared" si="88"/>
        <v>111</v>
      </c>
      <c r="Q977">
        <f t="shared" si="88"/>
        <v>121</v>
      </c>
      <c r="R977">
        <f t="shared" si="88"/>
        <v>99</v>
      </c>
      <c r="S977">
        <f t="shared" si="88"/>
        <v>101</v>
      </c>
      <c r="T977">
        <f t="shared" si="88"/>
        <v>46</v>
      </c>
      <c r="U977">
        <f t="shared" si="88"/>
        <v>107</v>
      </c>
      <c r="V977">
        <f t="shared" si="88"/>
        <v>111</v>
      </c>
      <c r="W977" s="5">
        <f t="shared" si="85"/>
        <v>914</v>
      </c>
      <c r="X977" s="9" t="str">
        <f t="shared" si="86"/>
        <v>o914</v>
      </c>
    </row>
    <row r="978" spans="1:24" x14ac:dyDescent="0.2">
      <c r="A978" s="9" t="s">
        <v>425</v>
      </c>
      <c r="B978" s="9">
        <v>3</v>
      </c>
      <c r="C978" s="25">
        <v>2</v>
      </c>
      <c r="D978" s="25"/>
      <c r="E978" s="23">
        <v>45341</v>
      </c>
      <c r="F978" s="23" t="s">
        <v>283</v>
      </c>
      <c r="G978" s="25" t="s">
        <v>296</v>
      </c>
      <c r="H978" s="24">
        <v>0</v>
      </c>
      <c r="I978" s="25" t="s">
        <v>8</v>
      </c>
      <c r="J978" s="32" t="s">
        <v>7</v>
      </c>
      <c r="K978" s="24" t="s">
        <v>9</v>
      </c>
      <c r="L978" s="25">
        <f t="shared" si="87"/>
        <v>689</v>
      </c>
      <c r="M978" s="4" t="str">
        <f>IF(Table3[[#This Row],[Afrondingsdatum YB]]="N/A","-",Table3[[#This Row],[Afrondingsdatum YB]]-Table3[[#This Row],[StartDatum]])</f>
        <v>-</v>
      </c>
      <c r="N978" s="4"/>
      <c r="O978">
        <f t="shared" si="88"/>
        <v>106</v>
      </c>
      <c r="P978">
        <f t="shared" si="88"/>
        <v>117</v>
      </c>
      <c r="Q978">
        <f t="shared" si="88"/>
        <v>108</v>
      </c>
      <c r="R978">
        <f t="shared" si="88"/>
        <v>105</v>
      </c>
      <c r="S978">
        <f t="shared" si="88"/>
        <v>97</v>
      </c>
      <c r="T978">
        <f t="shared" si="88"/>
        <v>110</v>
      </c>
      <c r="U978">
        <f t="shared" si="88"/>
        <v>46</v>
      </c>
      <c r="V978">
        <f t="shared" si="88"/>
        <v>109</v>
      </c>
      <c r="W978" s="5">
        <f t="shared" si="85"/>
        <v>877</v>
      </c>
      <c r="X978" s="9" t="str">
        <f t="shared" si="86"/>
        <v>u877</v>
      </c>
    </row>
    <row r="979" spans="1:24" x14ac:dyDescent="0.2">
      <c r="A979" s="9" t="s">
        <v>425</v>
      </c>
      <c r="B979" s="9">
        <v>3</v>
      </c>
      <c r="C979" s="25">
        <v>2</v>
      </c>
      <c r="D979" s="25"/>
      <c r="E979" s="23">
        <v>45341</v>
      </c>
      <c r="F979" s="23" t="s">
        <v>283</v>
      </c>
      <c r="G979" s="25" t="s">
        <v>297</v>
      </c>
      <c r="H979" s="24">
        <v>0</v>
      </c>
      <c r="I979" s="25" t="s">
        <v>8</v>
      </c>
      <c r="J979" s="32" t="s">
        <v>7</v>
      </c>
      <c r="K979" s="24" t="s">
        <v>9</v>
      </c>
      <c r="L979" s="25">
        <f t="shared" si="87"/>
        <v>698</v>
      </c>
      <c r="M979" s="4" t="str">
        <f>IF(Table3[[#This Row],[Afrondingsdatum YB]]="N/A","-",Table3[[#This Row],[Afrondingsdatum YB]]-Table3[[#This Row],[StartDatum]])</f>
        <v>-</v>
      </c>
      <c r="N979" s="4"/>
      <c r="O979">
        <f t="shared" si="88"/>
        <v>106</v>
      </c>
      <c r="P979">
        <f t="shared" si="88"/>
        <v>117</v>
      </c>
      <c r="Q979">
        <f t="shared" si="88"/>
        <v>114</v>
      </c>
      <c r="R979">
        <f t="shared" si="88"/>
        <v>114</v>
      </c>
      <c r="S979">
        <f t="shared" si="88"/>
        <v>101</v>
      </c>
      <c r="T979">
        <f t="shared" si="88"/>
        <v>46</v>
      </c>
      <c r="U979">
        <f t="shared" si="88"/>
        <v>100</v>
      </c>
      <c r="V979">
        <f t="shared" si="88"/>
        <v>101</v>
      </c>
      <c r="W979" s="5">
        <f t="shared" si="85"/>
        <v>883</v>
      </c>
      <c r="X979" s="9" t="str">
        <f t="shared" si="86"/>
        <v>u883</v>
      </c>
    </row>
    <row r="980" spans="1:24" x14ac:dyDescent="0.2">
      <c r="A980" s="9" t="s">
        <v>425</v>
      </c>
      <c r="B980" s="9">
        <v>3</v>
      </c>
      <c r="C980" s="25">
        <v>2</v>
      </c>
      <c r="D980" s="25"/>
      <c r="E980" s="23">
        <v>45341</v>
      </c>
      <c r="F980" s="23" t="s">
        <v>280</v>
      </c>
      <c r="G980" s="25" t="s">
        <v>298</v>
      </c>
      <c r="H980" s="24">
        <v>0</v>
      </c>
      <c r="I980" s="25" t="s">
        <v>299</v>
      </c>
      <c r="J980" s="32" t="s">
        <v>7</v>
      </c>
      <c r="K980" s="24" t="s">
        <v>9</v>
      </c>
      <c r="L980" s="25">
        <f t="shared" si="87"/>
        <v>685</v>
      </c>
      <c r="M980" s="4" t="str">
        <f>IF(Table3[[#This Row],[Afrondingsdatum YB]]="N/A","-",Table3[[#This Row],[Afrondingsdatum YB]]-Table3[[#This Row],[StartDatum]])</f>
        <v>-</v>
      </c>
      <c r="N980" s="4"/>
      <c r="O980">
        <f t="shared" si="88"/>
        <v>75</v>
      </c>
      <c r="P980">
        <f t="shared" si="88"/>
        <v>121</v>
      </c>
      <c r="Q980">
        <f t="shared" si="88"/>
        <v>114</v>
      </c>
      <c r="R980">
        <f t="shared" si="88"/>
        <v>111</v>
      </c>
      <c r="S980">
        <f t="shared" si="88"/>
        <v>110</v>
      </c>
      <c r="T980">
        <f t="shared" si="88"/>
        <v>46</v>
      </c>
      <c r="U980">
        <f t="shared" si="88"/>
        <v>108</v>
      </c>
      <c r="V980">
        <f t="shared" si="88"/>
        <v>101</v>
      </c>
      <c r="W980" s="5">
        <f t="shared" si="85"/>
        <v>870</v>
      </c>
      <c r="X980" s="9" t="str">
        <f t="shared" si="86"/>
        <v>y870</v>
      </c>
    </row>
    <row r="981" spans="1:24" x14ac:dyDescent="0.2">
      <c r="A981" s="9" t="s">
        <v>425</v>
      </c>
      <c r="B981" s="9">
        <v>3</v>
      </c>
      <c r="C981" s="25">
        <v>2</v>
      </c>
      <c r="D981" s="25"/>
      <c r="E981" s="23">
        <v>45341</v>
      </c>
      <c r="F981" s="23" t="s">
        <v>280</v>
      </c>
      <c r="G981" s="25" t="s">
        <v>300</v>
      </c>
      <c r="H981" s="24">
        <v>0</v>
      </c>
      <c r="I981" s="25" t="s">
        <v>8</v>
      </c>
      <c r="J981" s="32" t="s">
        <v>7</v>
      </c>
      <c r="K981" s="24" t="s">
        <v>9</v>
      </c>
      <c r="L981" s="25">
        <f t="shared" si="87"/>
        <v>761</v>
      </c>
      <c r="M981" s="4" t="str">
        <f>IF(Table3[[#This Row],[Afrondingsdatum YB]]="N/A","-",Table3[[#This Row],[Afrondingsdatum YB]]-Table3[[#This Row],[StartDatum]])</f>
        <v>-</v>
      </c>
      <c r="N981" s="4"/>
      <c r="O981">
        <f t="shared" si="88"/>
        <v>108</v>
      </c>
      <c r="P981">
        <f t="shared" si="88"/>
        <v>117</v>
      </c>
      <c r="Q981">
        <f t="shared" si="88"/>
        <v>99</v>
      </c>
      <c r="R981">
        <f t="shared" si="88"/>
        <v>105</v>
      </c>
      <c r="S981">
        <f t="shared" si="88"/>
        <v>97</v>
      </c>
      <c r="T981">
        <f t="shared" si="88"/>
        <v>121</v>
      </c>
      <c r="U981">
        <f t="shared" si="88"/>
        <v>114</v>
      </c>
      <c r="V981">
        <f t="shared" si="88"/>
        <v>111</v>
      </c>
      <c r="W981" s="5">
        <f t="shared" si="85"/>
        <v>933</v>
      </c>
      <c r="X981" s="9" t="str">
        <f t="shared" si="86"/>
        <v>u933</v>
      </c>
    </row>
    <row r="982" spans="1:24" x14ac:dyDescent="0.2">
      <c r="A982" s="9" t="s">
        <v>425</v>
      </c>
      <c r="B982" s="9">
        <v>3</v>
      </c>
      <c r="C982" s="25">
        <v>2</v>
      </c>
      <c r="D982" s="25"/>
      <c r="E982" s="23">
        <v>45341</v>
      </c>
      <c r="F982" s="23" t="s">
        <v>283</v>
      </c>
      <c r="G982" s="25" t="s">
        <v>301</v>
      </c>
      <c r="H982" s="24">
        <v>0</v>
      </c>
      <c r="I982" s="25" t="s">
        <v>8</v>
      </c>
      <c r="J982" s="32" t="s">
        <v>7</v>
      </c>
      <c r="K982" s="24" t="s">
        <v>9</v>
      </c>
      <c r="L982" s="25">
        <f t="shared" si="87"/>
        <v>762</v>
      </c>
      <c r="M982" s="4" t="str">
        <f>IF(Table3[[#This Row],[Afrondingsdatum YB]]="N/A","-",Table3[[#This Row],[Afrondingsdatum YB]]-Table3[[#This Row],[StartDatum]])</f>
        <v>-</v>
      </c>
      <c r="N982" s="4"/>
      <c r="O982">
        <f t="shared" si="88"/>
        <v>108</v>
      </c>
      <c r="P982">
        <f t="shared" si="88"/>
        <v>121</v>
      </c>
      <c r="Q982">
        <f t="shared" si="88"/>
        <v>115</v>
      </c>
      <c r="R982">
        <f t="shared" si="88"/>
        <v>97</v>
      </c>
      <c r="S982">
        <f t="shared" si="88"/>
        <v>110</v>
      </c>
      <c r="T982">
        <f t="shared" si="88"/>
        <v>110</v>
      </c>
      <c r="U982">
        <f t="shared" si="88"/>
        <v>101</v>
      </c>
      <c r="V982">
        <f t="shared" si="88"/>
        <v>46</v>
      </c>
      <c r="W982" s="5">
        <f t="shared" si="85"/>
        <v>905</v>
      </c>
      <c r="X982" s="9" t="str">
        <f t="shared" si="86"/>
        <v>y905</v>
      </c>
    </row>
    <row r="983" spans="1:24" x14ac:dyDescent="0.2">
      <c r="A983" s="9" t="s">
        <v>425</v>
      </c>
      <c r="B983" s="9">
        <v>3</v>
      </c>
      <c r="C983" s="25">
        <v>2</v>
      </c>
      <c r="D983" s="25"/>
      <c r="E983" s="23">
        <v>45341</v>
      </c>
      <c r="F983" s="23" t="s">
        <v>283</v>
      </c>
      <c r="G983" s="25" t="s">
        <v>302</v>
      </c>
      <c r="H983" s="24">
        <v>0</v>
      </c>
      <c r="I983" s="25" t="s">
        <v>8</v>
      </c>
      <c r="J983" s="32" t="s">
        <v>7</v>
      </c>
      <c r="K983" s="24" t="s">
        <v>9</v>
      </c>
      <c r="L983" s="25">
        <f t="shared" si="87"/>
        <v>697</v>
      </c>
      <c r="M983" s="4" t="str">
        <f>IF(Table3[[#This Row],[Afrondingsdatum YB]]="N/A","-",Table3[[#This Row],[Afrondingsdatum YB]]-Table3[[#This Row],[StartDatum]])</f>
        <v>-</v>
      </c>
      <c r="N983" s="4"/>
      <c r="O983">
        <f t="shared" si="88"/>
        <v>109</v>
      </c>
      <c r="P983">
        <f t="shared" si="88"/>
        <v>101</v>
      </c>
      <c r="Q983">
        <f t="shared" si="88"/>
        <v>108</v>
      </c>
      <c r="R983">
        <f t="shared" si="88"/>
        <v>118</v>
      </c>
      <c r="S983">
        <f t="shared" si="88"/>
        <v>105</v>
      </c>
      <c r="T983">
        <f t="shared" si="88"/>
        <v>110</v>
      </c>
      <c r="U983">
        <f t="shared" si="88"/>
        <v>46</v>
      </c>
      <c r="V983">
        <f t="shared" si="88"/>
        <v>98</v>
      </c>
      <c r="W983" s="5">
        <f t="shared" si="85"/>
        <v>872</v>
      </c>
      <c r="X983" s="9" t="str">
        <f t="shared" si="86"/>
        <v>e872</v>
      </c>
    </row>
    <row r="984" spans="1:24" x14ac:dyDescent="0.2">
      <c r="A984" s="9" t="s">
        <v>425</v>
      </c>
      <c r="B984" s="9">
        <v>3</v>
      </c>
      <c r="C984" s="25">
        <v>2</v>
      </c>
      <c r="D984" s="25"/>
      <c r="E984" s="23">
        <v>45341</v>
      </c>
      <c r="F984" s="23" t="s">
        <v>283</v>
      </c>
      <c r="G984" s="25" t="s">
        <v>303</v>
      </c>
      <c r="H984" s="24">
        <v>0</v>
      </c>
      <c r="I984" s="25" t="s">
        <v>8</v>
      </c>
      <c r="J984" s="32" t="s">
        <v>7</v>
      </c>
      <c r="K984" s="24" t="s">
        <v>9</v>
      </c>
      <c r="L984" s="25">
        <f t="shared" si="87"/>
        <v>691</v>
      </c>
      <c r="M984" s="4" t="str">
        <f>IF(Table3[[#This Row],[Afrondingsdatum YB]]="N/A","-",Table3[[#This Row],[Afrondingsdatum YB]]-Table3[[#This Row],[StartDatum]])</f>
        <v>-</v>
      </c>
      <c r="N984" s="4"/>
      <c r="O984">
        <f t="shared" si="88"/>
        <v>109</v>
      </c>
      <c r="P984">
        <f t="shared" si="88"/>
        <v>111</v>
      </c>
      <c r="Q984">
        <f t="shared" si="88"/>
        <v>104</v>
      </c>
      <c r="R984">
        <f t="shared" si="88"/>
        <v>105</v>
      </c>
      <c r="S984">
        <f t="shared" si="88"/>
        <v>116</v>
      </c>
      <c r="T984">
        <f t="shared" si="88"/>
        <v>46</v>
      </c>
      <c r="U984">
        <f t="shared" si="88"/>
        <v>100</v>
      </c>
      <c r="V984">
        <f t="shared" si="88"/>
        <v>97</v>
      </c>
      <c r="W984" s="5">
        <f t="shared" si="85"/>
        <v>862</v>
      </c>
      <c r="X984" s="9" t="str">
        <f t="shared" si="86"/>
        <v>o862</v>
      </c>
    </row>
    <row r="985" spans="1:24" x14ac:dyDescent="0.2">
      <c r="A985" s="9" t="s">
        <v>425</v>
      </c>
      <c r="B985" s="9">
        <v>3</v>
      </c>
      <c r="C985" s="25">
        <v>2</v>
      </c>
      <c r="D985" s="25"/>
      <c r="E985" s="23">
        <v>45341</v>
      </c>
      <c r="F985" s="23" t="s">
        <v>280</v>
      </c>
      <c r="G985" s="25" t="s">
        <v>304</v>
      </c>
      <c r="H985" s="24">
        <v>0</v>
      </c>
      <c r="I985" s="25" t="s">
        <v>8</v>
      </c>
      <c r="J985" s="32" t="s">
        <v>7</v>
      </c>
      <c r="K985" s="24" t="s">
        <v>9</v>
      </c>
      <c r="L985" s="25">
        <f t="shared" si="87"/>
        <v>706</v>
      </c>
      <c r="M985" s="4" t="str">
        <f>IF(Table3[[#This Row],[Afrondingsdatum YB]]="N/A","-",Table3[[#This Row],[Afrondingsdatum YB]]-Table3[[#This Row],[StartDatum]])</f>
        <v>-</v>
      </c>
      <c r="N985" s="4"/>
      <c r="O985">
        <f t="shared" si="88"/>
        <v>109</v>
      </c>
      <c r="P985">
        <f t="shared" si="88"/>
        <v>111</v>
      </c>
      <c r="Q985">
        <f t="shared" si="88"/>
        <v>108</v>
      </c>
      <c r="R985">
        <f t="shared" si="88"/>
        <v>105</v>
      </c>
      <c r="S985">
        <f t="shared" si="88"/>
        <v>116</v>
      </c>
      <c r="T985">
        <f t="shared" si="88"/>
        <v>111</v>
      </c>
      <c r="U985">
        <f t="shared" si="88"/>
        <v>46</v>
      </c>
      <c r="V985">
        <f t="shared" si="88"/>
        <v>102</v>
      </c>
      <c r="W985" s="5">
        <f t="shared" si="85"/>
        <v>890</v>
      </c>
      <c r="X985" s="9" t="str">
        <f t="shared" si="86"/>
        <v>o890</v>
      </c>
    </row>
    <row r="986" spans="1:24" x14ac:dyDescent="0.2">
      <c r="A986" s="9" t="s">
        <v>425</v>
      </c>
      <c r="B986" s="9">
        <v>3</v>
      </c>
      <c r="C986" s="25">
        <v>2</v>
      </c>
      <c r="D986" s="25"/>
      <c r="E986" s="23">
        <v>45341</v>
      </c>
      <c r="F986" s="23" t="s">
        <v>283</v>
      </c>
      <c r="G986" s="25" t="s">
        <v>305</v>
      </c>
      <c r="H986" s="24">
        <v>0</v>
      </c>
      <c r="I986" s="25" t="s">
        <v>8</v>
      </c>
      <c r="J986" s="32" t="s">
        <v>7</v>
      </c>
      <c r="K986" s="24" t="s">
        <v>9</v>
      </c>
      <c r="L986" s="25">
        <f t="shared" si="87"/>
        <v>726</v>
      </c>
      <c r="M986" s="4" t="str">
        <f>IF(Table3[[#This Row],[Afrondingsdatum YB]]="N/A","-",Table3[[#This Row],[Afrondingsdatum YB]]-Table3[[#This Row],[StartDatum]])</f>
        <v>-</v>
      </c>
      <c r="N986" s="4"/>
      <c r="O986">
        <f t="shared" si="88"/>
        <v>77</v>
      </c>
      <c r="P986">
        <f t="shared" si="88"/>
        <v>117</v>
      </c>
      <c r="Q986">
        <f t="shared" si="88"/>
        <v>100</v>
      </c>
      <c r="R986">
        <f t="shared" si="88"/>
        <v>97</v>
      </c>
      <c r="S986">
        <f t="shared" si="88"/>
        <v>115</v>
      </c>
      <c r="T986">
        <f t="shared" si="88"/>
        <v>115</v>
      </c>
      <c r="U986">
        <f t="shared" si="88"/>
        <v>105</v>
      </c>
      <c r="V986">
        <f t="shared" si="88"/>
        <v>114</v>
      </c>
      <c r="W986" s="5">
        <f t="shared" si="85"/>
        <v>909</v>
      </c>
      <c r="X986" s="9" t="str">
        <f t="shared" si="86"/>
        <v>u909</v>
      </c>
    </row>
    <row r="987" spans="1:24" x14ac:dyDescent="0.2">
      <c r="A987" s="9" t="s">
        <v>425</v>
      </c>
      <c r="B987" s="9">
        <v>3</v>
      </c>
      <c r="C987" s="25">
        <v>2</v>
      </c>
      <c r="D987" s="25"/>
      <c r="E987" s="23">
        <v>45341</v>
      </c>
      <c r="F987" s="23" t="s">
        <v>280</v>
      </c>
      <c r="G987" s="25" t="s">
        <v>306</v>
      </c>
      <c r="H987" s="24">
        <v>0</v>
      </c>
      <c r="I987" s="25" t="s">
        <v>8</v>
      </c>
      <c r="J987" s="32" t="s">
        <v>7</v>
      </c>
      <c r="K987" s="24" t="s">
        <v>9</v>
      </c>
      <c r="L987" s="25">
        <f t="shared" si="87"/>
        <v>684</v>
      </c>
      <c r="M987" s="4" t="str">
        <f>IF(Table3[[#This Row],[Afrondingsdatum YB]]="N/A","-",Table3[[#This Row],[Afrondingsdatum YB]]-Table3[[#This Row],[StartDatum]])</f>
        <v>-</v>
      </c>
      <c r="N987" s="4"/>
      <c r="O987">
        <f t="shared" si="88"/>
        <v>110</v>
      </c>
      <c r="P987">
        <f t="shared" si="88"/>
        <v>97</v>
      </c>
      <c r="Q987">
        <f t="shared" si="88"/>
        <v>114</v>
      </c>
      <c r="R987">
        <f t="shared" si="88"/>
        <v>101</v>
      </c>
      <c r="S987">
        <f t="shared" si="88"/>
        <v>107</v>
      </c>
      <c r="T987">
        <f t="shared" si="88"/>
        <v>46</v>
      </c>
      <c r="U987">
        <f t="shared" si="88"/>
        <v>109</v>
      </c>
      <c r="V987">
        <f t="shared" si="88"/>
        <v>97</v>
      </c>
      <c r="W987" s="5">
        <f t="shared" si="85"/>
        <v>885</v>
      </c>
      <c r="X987" s="9" t="str">
        <f t="shared" si="86"/>
        <v>a885</v>
      </c>
    </row>
    <row r="988" spans="1:24" x14ac:dyDescent="0.2">
      <c r="A988" s="9" t="s">
        <v>425</v>
      </c>
      <c r="B988" s="9">
        <v>3</v>
      </c>
      <c r="C988" s="25">
        <v>2</v>
      </c>
      <c r="D988" s="25"/>
      <c r="E988" s="23">
        <v>45341</v>
      </c>
      <c r="F988" s="23" t="s">
        <v>283</v>
      </c>
      <c r="G988" s="25" t="s">
        <v>307</v>
      </c>
      <c r="H988" s="24">
        <v>0.11</v>
      </c>
      <c r="I988" s="25" t="s">
        <v>313</v>
      </c>
      <c r="J988" s="32" t="s">
        <v>7</v>
      </c>
      <c r="K988" s="24" t="s">
        <v>9</v>
      </c>
      <c r="L988" s="25">
        <f t="shared" si="87"/>
        <v>695</v>
      </c>
      <c r="M988" s="4" t="str">
        <f>IF(Table3[[#This Row],[Afrondingsdatum YB]]="N/A","-",Table3[[#This Row],[Afrondingsdatum YB]]-Table3[[#This Row],[StartDatum]])</f>
        <v>-</v>
      </c>
      <c r="N988" s="4"/>
      <c r="O988">
        <f t="shared" si="88"/>
        <v>114</v>
      </c>
      <c r="P988">
        <f t="shared" si="88"/>
        <v>101</v>
      </c>
      <c r="Q988">
        <f t="shared" si="88"/>
        <v>109</v>
      </c>
      <c r="R988">
        <f t="shared" si="88"/>
        <v>121</v>
      </c>
      <c r="S988">
        <f t="shared" si="88"/>
        <v>46</v>
      </c>
      <c r="T988">
        <f t="shared" si="88"/>
        <v>97</v>
      </c>
      <c r="U988">
        <f t="shared" si="88"/>
        <v>107</v>
      </c>
      <c r="V988">
        <f t="shared" si="88"/>
        <v>98</v>
      </c>
      <c r="W988" s="5">
        <f t="shared" si="85"/>
        <v>870</v>
      </c>
      <c r="X988" s="9" t="str">
        <f t="shared" si="86"/>
        <v>e870</v>
      </c>
    </row>
    <row r="989" spans="1:24" x14ac:dyDescent="0.2">
      <c r="A989" s="9" t="s">
        <v>425</v>
      </c>
      <c r="B989" s="9">
        <v>3</v>
      </c>
      <c r="C989" s="25">
        <v>2</v>
      </c>
      <c r="D989" s="25"/>
      <c r="E989" s="23">
        <v>45341</v>
      </c>
      <c r="F989" s="23" t="s">
        <v>280</v>
      </c>
      <c r="G989" s="25" t="s">
        <v>308</v>
      </c>
      <c r="H989" s="24">
        <v>0</v>
      </c>
      <c r="I989" s="25" t="s">
        <v>8</v>
      </c>
      <c r="J989" s="32" t="s">
        <v>7</v>
      </c>
      <c r="K989" s="24" t="s">
        <v>9</v>
      </c>
      <c r="L989" s="25">
        <f t="shared" si="87"/>
        <v>712</v>
      </c>
      <c r="M989" s="4" t="str">
        <f>IF(Table3[[#This Row],[Afrondingsdatum YB]]="N/A","-",Table3[[#This Row],[Afrondingsdatum YB]]-Table3[[#This Row],[StartDatum]])</f>
        <v>-</v>
      </c>
      <c r="N989" s="4"/>
      <c r="O989">
        <f t="shared" si="88"/>
        <v>114</v>
      </c>
      <c r="P989">
        <f t="shared" si="88"/>
        <v>111</v>
      </c>
      <c r="Q989">
        <f t="shared" si="88"/>
        <v>119</v>
      </c>
      <c r="R989">
        <f t="shared" si="88"/>
        <v>97</v>
      </c>
      <c r="S989">
        <f t="shared" si="88"/>
        <v>110</v>
      </c>
      <c r="T989">
        <f t="shared" si="88"/>
        <v>46</v>
      </c>
      <c r="U989">
        <f t="shared" si="88"/>
        <v>115</v>
      </c>
      <c r="V989">
        <f t="shared" si="88"/>
        <v>97</v>
      </c>
      <c r="W989" s="5">
        <f t="shared" si="85"/>
        <v>919</v>
      </c>
      <c r="X989" s="9" t="str">
        <f t="shared" si="86"/>
        <v>o919</v>
      </c>
    </row>
    <row r="990" spans="1:24" x14ac:dyDescent="0.2">
      <c r="A990" s="9" t="s">
        <v>425</v>
      </c>
      <c r="B990" s="9">
        <v>3</v>
      </c>
      <c r="C990" s="25">
        <v>2</v>
      </c>
      <c r="D990" s="25"/>
      <c r="E990" s="23">
        <v>45341</v>
      </c>
      <c r="F990" s="23" t="s">
        <v>283</v>
      </c>
      <c r="G990" s="25" t="s">
        <v>309</v>
      </c>
      <c r="H990" s="24">
        <v>0</v>
      </c>
      <c r="I990" s="25" t="s">
        <v>8</v>
      </c>
      <c r="J990" s="32" t="s">
        <v>7</v>
      </c>
      <c r="K990" s="24" t="s">
        <v>9</v>
      </c>
      <c r="L990" s="25">
        <f t="shared" si="87"/>
        <v>736</v>
      </c>
      <c r="M990" s="4" t="str">
        <f>IF(Table3[[#This Row],[Afrondingsdatum YB]]="N/A","-",Table3[[#This Row],[Afrondingsdatum YB]]-Table3[[#This Row],[StartDatum]])</f>
        <v>-</v>
      </c>
      <c r="N990" s="4"/>
      <c r="O990">
        <f t="shared" si="88"/>
        <v>115</v>
      </c>
      <c r="P990">
        <f t="shared" si="88"/>
        <v>97</v>
      </c>
      <c r="Q990">
        <f t="shared" si="88"/>
        <v>121</v>
      </c>
      <c r="R990">
        <f t="shared" si="88"/>
        <v>102</v>
      </c>
      <c r="S990">
        <f t="shared" si="88"/>
        <v>101</v>
      </c>
      <c r="T990">
        <f t="shared" si="88"/>
        <v>100</v>
      </c>
      <c r="U990">
        <f t="shared" si="88"/>
        <v>100</v>
      </c>
      <c r="V990">
        <f t="shared" si="88"/>
        <v>105</v>
      </c>
      <c r="W990" s="5">
        <f t="shared" si="85"/>
        <v>958</v>
      </c>
      <c r="X990" s="9" t="str">
        <f t="shared" si="86"/>
        <v>a958</v>
      </c>
    </row>
    <row r="991" spans="1:24" x14ac:dyDescent="0.2">
      <c r="A991" s="9" t="s">
        <v>425</v>
      </c>
      <c r="B991" s="9">
        <v>3</v>
      </c>
      <c r="C991" s="25">
        <v>2</v>
      </c>
      <c r="D991" s="25"/>
      <c r="E991" s="23">
        <v>45341</v>
      </c>
      <c r="F991" s="23" t="s">
        <v>283</v>
      </c>
      <c r="G991" s="25" t="s">
        <v>310</v>
      </c>
      <c r="H991" s="24">
        <v>0</v>
      </c>
      <c r="I991" s="25" t="s">
        <v>8</v>
      </c>
      <c r="J991" s="32" t="s">
        <v>7</v>
      </c>
      <c r="K991" s="24" t="s">
        <v>9</v>
      </c>
      <c r="L991" s="25">
        <f t="shared" si="87"/>
        <v>724</v>
      </c>
      <c r="M991" s="4" t="str">
        <f>IF(Table3[[#This Row],[Afrondingsdatum YB]]="N/A","-",Table3[[#This Row],[Afrondingsdatum YB]]-Table3[[#This Row],[StartDatum]])</f>
        <v>-</v>
      </c>
      <c r="N991" s="4"/>
      <c r="O991">
        <f t="shared" si="88"/>
        <v>116</v>
      </c>
      <c r="P991">
        <f t="shared" si="88"/>
        <v>111</v>
      </c>
      <c r="Q991">
        <f t="shared" si="88"/>
        <v>109</v>
      </c>
      <c r="R991">
        <f t="shared" si="88"/>
        <v>109</v>
      </c>
      <c r="S991">
        <f t="shared" si="88"/>
        <v>121</v>
      </c>
      <c r="T991">
        <f t="shared" si="88"/>
        <v>46</v>
      </c>
      <c r="U991">
        <f t="shared" si="88"/>
        <v>112</v>
      </c>
      <c r="V991">
        <f t="shared" si="88"/>
        <v>111</v>
      </c>
      <c r="W991" s="5">
        <f t="shared" si="85"/>
        <v>916</v>
      </c>
      <c r="X991" s="9" t="str">
        <f t="shared" si="86"/>
        <v>o916</v>
      </c>
    </row>
    <row r="992" spans="1:24" x14ac:dyDescent="0.2">
      <c r="A992" s="9" t="s">
        <v>425</v>
      </c>
      <c r="B992" s="9">
        <v>3</v>
      </c>
      <c r="C992" s="25">
        <v>2</v>
      </c>
      <c r="D992" s="25"/>
      <c r="E992" s="23">
        <v>45341</v>
      </c>
      <c r="F992" s="23" t="s">
        <v>280</v>
      </c>
      <c r="G992" s="25" t="s">
        <v>311</v>
      </c>
      <c r="H992" s="24">
        <v>0</v>
      </c>
      <c r="I992" s="25" t="s">
        <v>8</v>
      </c>
      <c r="J992" s="32" t="s">
        <v>7</v>
      </c>
      <c r="K992" s="24" t="s">
        <v>9</v>
      </c>
      <c r="L992" s="25">
        <f t="shared" si="87"/>
        <v>758</v>
      </c>
      <c r="M992" s="4" t="str">
        <f>IF(Table3[[#This Row],[Afrondingsdatum YB]]="N/A","-",Table3[[#This Row],[Afrondingsdatum YB]]-Table3[[#This Row],[StartDatum]])</f>
        <v>-</v>
      </c>
      <c r="N992" s="4"/>
      <c r="O992">
        <f t="shared" si="88"/>
        <v>121</v>
      </c>
      <c r="P992">
        <f t="shared" si="88"/>
        <v>97</v>
      </c>
      <c r="Q992">
        <f t="shared" si="88"/>
        <v>115</v>
      </c>
      <c r="R992">
        <f t="shared" si="88"/>
        <v>109</v>
      </c>
      <c r="S992">
        <f t="shared" si="88"/>
        <v>105</v>
      </c>
      <c r="T992">
        <f t="shared" si="88"/>
        <v>110</v>
      </c>
      <c r="U992">
        <f t="shared" si="88"/>
        <v>101</v>
      </c>
      <c r="V992">
        <f t="shared" si="88"/>
        <v>46</v>
      </c>
      <c r="W992" s="5">
        <f t="shared" si="85"/>
        <v>904</v>
      </c>
      <c r="X992" s="9" t="str">
        <f t="shared" si="86"/>
        <v>a904</v>
      </c>
    </row>
    <row r="993" spans="1:24" x14ac:dyDescent="0.2">
      <c r="A993" s="9" t="s">
        <v>425</v>
      </c>
      <c r="B993" s="9">
        <v>3</v>
      </c>
      <c r="C993" s="25">
        <v>2</v>
      </c>
      <c r="D993" s="25"/>
      <c r="E993" s="23">
        <v>45341</v>
      </c>
      <c r="F993" s="23" t="s">
        <v>283</v>
      </c>
      <c r="G993" s="25" t="s">
        <v>312</v>
      </c>
      <c r="H993" s="24">
        <v>0</v>
      </c>
      <c r="I993" s="25" t="s">
        <v>8</v>
      </c>
      <c r="J993" s="32" t="s">
        <v>7</v>
      </c>
      <c r="K993" s="24" t="s">
        <v>9</v>
      </c>
      <c r="L993" s="25">
        <f t="shared" si="87"/>
        <v>790</v>
      </c>
      <c r="M993" s="4" t="str">
        <f>IF(Table3[[#This Row],[Afrondingsdatum YB]]="N/A","-",Table3[[#This Row],[Afrondingsdatum YB]]-Table3[[#This Row],[StartDatum]])</f>
        <v>-</v>
      </c>
      <c r="N993" s="4"/>
      <c r="O993">
        <f t="shared" si="88"/>
        <v>121</v>
      </c>
      <c r="P993">
        <f t="shared" si="88"/>
        <v>111</v>
      </c>
      <c r="Q993">
        <f t="shared" si="88"/>
        <v>117</v>
      </c>
      <c r="R993">
        <f t="shared" si="88"/>
        <v>115</v>
      </c>
      <c r="S993">
        <f t="shared" si="88"/>
        <v>115</v>
      </c>
      <c r="T993">
        <f t="shared" si="88"/>
        <v>114</v>
      </c>
      <c r="U993">
        <f t="shared" si="88"/>
        <v>97</v>
      </c>
      <c r="V993">
        <f t="shared" si="88"/>
        <v>46</v>
      </c>
      <c r="W993" s="5">
        <f t="shared" si="85"/>
        <v>928</v>
      </c>
      <c r="X993" s="9" t="str">
        <f t="shared" si="86"/>
        <v>o928</v>
      </c>
    </row>
    <row r="994" spans="1:24" x14ac:dyDescent="0.2">
      <c r="A994" s="9" t="s">
        <v>425</v>
      </c>
      <c r="B994" s="9">
        <v>3</v>
      </c>
      <c r="C994" s="25">
        <v>3</v>
      </c>
      <c r="D994" s="25"/>
      <c r="E994" s="23">
        <v>45348</v>
      </c>
      <c r="F994" s="23" t="s">
        <v>280</v>
      </c>
      <c r="G994" s="25" t="s">
        <v>281</v>
      </c>
      <c r="H994" s="24">
        <v>0.14000000000000001</v>
      </c>
      <c r="I994" s="25" t="s">
        <v>174</v>
      </c>
      <c r="J994" s="32" t="s">
        <v>7</v>
      </c>
      <c r="K994" s="24" t="s">
        <v>9</v>
      </c>
      <c r="L994" s="25">
        <f t="shared" si="87"/>
        <v>717</v>
      </c>
      <c r="M994" s="4" t="str">
        <f>IF(Table3[[#This Row],[Afrondingsdatum YB]]="N/A","-",Table3[[#This Row],[Afrondingsdatum YB]]-Table3[[#This Row],[StartDatum]])</f>
        <v>-</v>
      </c>
      <c r="N994" s="4"/>
      <c r="O994">
        <f t="shared" si="88"/>
        <v>97</v>
      </c>
      <c r="P994">
        <f t="shared" si="88"/>
        <v>98</v>
      </c>
      <c r="Q994">
        <f t="shared" si="88"/>
        <v>100</v>
      </c>
      <c r="R994">
        <f t="shared" si="88"/>
        <v>101</v>
      </c>
      <c r="S994">
        <f t="shared" si="88"/>
        <v>108</v>
      </c>
      <c r="T994">
        <f t="shared" si="88"/>
        <v>105</v>
      </c>
      <c r="U994">
        <f t="shared" si="88"/>
        <v>108</v>
      </c>
      <c r="V994">
        <f t="shared" si="88"/>
        <v>97</v>
      </c>
      <c r="W994" s="5">
        <f t="shared" si="85"/>
        <v>889</v>
      </c>
      <c r="X994" s="9" t="str">
        <f t="shared" si="86"/>
        <v>b889</v>
      </c>
    </row>
    <row r="995" spans="1:24" x14ac:dyDescent="0.2">
      <c r="A995" s="9" t="s">
        <v>425</v>
      </c>
      <c r="B995" s="9">
        <v>3</v>
      </c>
      <c r="C995" s="25">
        <v>3</v>
      </c>
      <c r="D995" s="25"/>
      <c r="E995" s="23">
        <v>45348</v>
      </c>
      <c r="F995" s="23" t="s">
        <v>280</v>
      </c>
      <c r="G995" s="25" t="s">
        <v>282</v>
      </c>
      <c r="H995" s="24">
        <v>0</v>
      </c>
      <c r="I995" s="25" t="s">
        <v>8</v>
      </c>
      <c r="J995" s="32" t="s">
        <v>7</v>
      </c>
      <c r="K995" s="24" t="s">
        <v>9</v>
      </c>
      <c r="L995" s="25">
        <f t="shared" si="87"/>
        <v>675</v>
      </c>
      <c r="M995" s="4" t="str">
        <f>IF(Table3[[#This Row],[Afrondingsdatum YB]]="N/A","-",Table3[[#This Row],[Afrondingsdatum YB]]-Table3[[#This Row],[StartDatum]])</f>
        <v>-</v>
      </c>
      <c r="N995" s="4"/>
      <c r="O995">
        <f t="shared" si="88"/>
        <v>97</v>
      </c>
      <c r="P995">
        <f t="shared" si="88"/>
        <v>104</v>
      </c>
      <c r="Q995">
        <f t="shared" si="88"/>
        <v>109</v>
      </c>
      <c r="R995">
        <f t="shared" si="88"/>
        <v>97</v>
      </c>
      <c r="S995">
        <f t="shared" si="88"/>
        <v>100</v>
      </c>
      <c r="T995">
        <f t="shared" si="88"/>
        <v>46</v>
      </c>
      <c r="U995">
        <f t="shared" si="88"/>
        <v>122</v>
      </c>
      <c r="V995">
        <f t="shared" si="88"/>
        <v>97</v>
      </c>
      <c r="W995" s="5">
        <f t="shared" si="85"/>
        <v>865</v>
      </c>
      <c r="X995" s="9" t="str">
        <f t="shared" si="86"/>
        <v>h865</v>
      </c>
    </row>
    <row r="996" spans="1:24" x14ac:dyDescent="0.2">
      <c r="A996" s="9" t="s">
        <v>425</v>
      </c>
      <c r="B996" s="9">
        <v>3</v>
      </c>
      <c r="C996" s="25">
        <v>3</v>
      </c>
      <c r="D996" s="25"/>
      <c r="E996" s="23">
        <v>45348</v>
      </c>
      <c r="F996" s="23" t="s">
        <v>283</v>
      </c>
      <c r="G996" s="25" t="s">
        <v>284</v>
      </c>
      <c r="H996" s="24">
        <v>0.41</v>
      </c>
      <c r="I996" s="25" t="s">
        <v>314</v>
      </c>
      <c r="J996" s="32" t="s">
        <v>7</v>
      </c>
      <c r="K996" s="24" t="s">
        <v>9</v>
      </c>
      <c r="L996" s="25">
        <f t="shared" si="87"/>
        <v>656</v>
      </c>
      <c r="M996" s="4" t="str">
        <f>IF(Table3[[#This Row],[Afrondingsdatum YB]]="N/A","-",Table3[[#This Row],[Afrondingsdatum YB]]-Table3[[#This Row],[StartDatum]])</f>
        <v>-</v>
      </c>
      <c r="N996" s="4"/>
      <c r="O996">
        <f t="shared" si="88"/>
        <v>65</v>
      </c>
      <c r="P996">
        <f t="shared" si="88"/>
        <v>104</v>
      </c>
      <c r="Q996">
        <f t="shared" si="88"/>
        <v>109</v>
      </c>
      <c r="R996">
        <f t="shared" si="88"/>
        <v>101</v>
      </c>
      <c r="S996">
        <f t="shared" si="88"/>
        <v>116</v>
      </c>
      <c r="T996">
        <f t="shared" si="88"/>
        <v>46</v>
      </c>
      <c r="U996">
        <f t="shared" si="88"/>
        <v>115</v>
      </c>
      <c r="V996">
        <f t="shared" si="88"/>
        <v>101</v>
      </c>
      <c r="W996" s="5">
        <f t="shared" si="85"/>
        <v>847</v>
      </c>
      <c r="X996" s="9" t="str">
        <f t="shared" si="86"/>
        <v>h847</v>
      </c>
    </row>
    <row r="997" spans="1:24" x14ac:dyDescent="0.2">
      <c r="A997" s="9" t="s">
        <v>425</v>
      </c>
      <c r="B997" s="9">
        <v>3</v>
      </c>
      <c r="C997" s="25">
        <v>3</v>
      </c>
      <c r="D997" s="25"/>
      <c r="E997" s="23">
        <v>45348</v>
      </c>
      <c r="F997" s="23" t="s">
        <v>283</v>
      </c>
      <c r="G997" s="25" t="s">
        <v>285</v>
      </c>
      <c r="H997" s="24">
        <v>0</v>
      </c>
      <c r="I997" s="25" t="s">
        <v>8</v>
      </c>
      <c r="J997" s="32" t="s">
        <v>7</v>
      </c>
      <c r="K997" s="24" t="s">
        <v>9</v>
      </c>
      <c r="L997" s="25">
        <f t="shared" si="87"/>
        <v>747</v>
      </c>
      <c r="M997" s="4" t="str">
        <f>IF(Table3[[#This Row],[Afrondingsdatum YB]]="N/A","-",Table3[[#This Row],[Afrondingsdatum YB]]-Table3[[#This Row],[StartDatum]])</f>
        <v>-</v>
      </c>
      <c r="N997" s="4"/>
      <c r="O997">
        <f t="shared" si="88"/>
        <v>97</v>
      </c>
      <c r="P997">
        <f t="shared" si="88"/>
        <v>110</v>
      </c>
      <c r="Q997">
        <f t="shared" si="88"/>
        <v>97</v>
      </c>
      <c r="R997">
        <f t="shared" si="88"/>
        <v>115</v>
      </c>
      <c r="S997">
        <f t="shared" si="88"/>
        <v>116</v>
      </c>
      <c r="T997">
        <f t="shared" si="88"/>
        <v>97</v>
      </c>
      <c r="U997">
        <f t="shared" si="88"/>
        <v>115</v>
      </c>
      <c r="V997">
        <f t="shared" si="88"/>
        <v>105</v>
      </c>
      <c r="W997" s="5">
        <f t="shared" si="85"/>
        <v>905</v>
      </c>
      <c r="X997" s="9" t="str">
        <f t="shared" si="86"/>
        <v>n905</v>
      </c>
    </row>
    <row r="998" spans="1:24" x14ac:dyDescent="0.2">
      <c r="A998" s="9" t="s">
        <v>425</v>
      </c>
      <c r="B998" s="9">
        <v>3</v>
      </c>
      <c r="C998" s="25">
        <v>3</v>
      </c>
      <c r="D998" s="25"/>
      <c r="E998" s="23">
        <v>45348</v>
      </c>
      <c r="F998" s="23" t="s">
        <v>283</v>
      </c>
      <c r="G998" s="25" t="s">
        <v>286</v>
      </c>
      <c r="H998" s="24">
        <v>0.57999999999999996</v>
      </c>
      <c r="I998" s="25" t="s">
        <v>315</v>
      </c>
      <c r="J998" s="32" t="s">
        <v>7</v>
      </c>
      <c r="K998" s="24" t="s">
        <v>9</v>
      </c>
      <c r="L998" s="25">
        <f t="shared" si="87"/>
        <v>645</v>
      </c>
      <c r="M998" s="4" t="str">
        <f>IF(Table3[[#This Row],[Afrondingsdatum YB]]="N/A","-",Table3[[#This Row],[Afrondingsdatum YB]]-Table3[[#This Row],[StartDatum]])</f>
        <v>-</v>
      </c>
      <c r="N998" s="4"/>
      <c r="O998">
        <f t="shared" si="88"/>
        <v>66</v>
      </c>
      <c r="P998">
        <f t="shared" si="88"/>
        <v>97</v>
      </c>
      <c r="Q998">
        <f t="shared" si="88"/>
        <v>115</v>
      </c>
      <c r="R998">
        <f t="shared" si="88"/>
        <v>46</v>
      </c>
      <c r="S998">
        <f t="shared" si="88"/>
        <v>107</v>
      </c>
      <c r="T998">
        <f t="shared" si="88"/>
        <v>105</v>
      </c>
      <c r="U998">
        <f t="shared" si="88"/>
        <v>109</v>
      </c>
      <c r="V998">
        <f t="shared" si="88"/>
        <v>109</v>
      </c>
      <c r="W998" s="5">
        <f t="shared" si="85"/>
        <v>901</v>
      </c>
      <c r="X998" s="9" t="str">
        <f t="shared" si="86"/>
        <v>a901</v>
      </c>
    </row>
    <row r="999" spans="1:24" x14ac:dyDescent="0.2">
      <c r="A999" s="9" t="s">
        <v>425</v>
      </c>
      <c r="B999" s="9">
        <v>3</v>
      </c>
      <c r="C999" s="25">
        <v>3</v>
      </c>
      <c r="D999" s="25"/>
      <c r="E999" s="23">
        <v>45348</v>
      </c>
      <c r="F999" s="23" t="s">
        <v>280</v>
      </c>
      <c r="G999" s="25" t="s">
        <v>287</v>
      </c>
      <c r="H999" s="24">
        <v>0</v>
      </c>
      <c r="I999" s="25" t="s">
        <v>8</v>
      </c>
      <c r="J999" s="32" t="s">
        <v>7</v>
      </c>
      <c r="K999" s="24" t="s">
        <v>9</v>
      </c>
      <c r="L999" s="25">
        <f t="shared" si="87"/>
        <v>666</v>
      </c>
      <c r="M999" s="4" t="str">
        <f>IF(Table3[[#This Row],[Afrondingsdatum YB]]="N/A","-",Table3[[#This Row],[Afrondingsdatum YB]]-Table3[[#This Row],[StartDatum]])</f>
        <v>-</v>
      </c>
      <c r="N999" s="4"/>
      <c r="O999">
        <f t="shared" si="88"/>
        <v>100</v>
      </c>
      <c r="P999">
        <f t="shared" si="88"/>
        <v>106</v>
      </c>
      <c r="Q999">
        <f t="shared" si="88"/>
        <v>97</v>
      </c>
      <c r="R999">
        <f t="shared" si="88"/>
        <v>98</v>
      </c>
      <c r="S999">
        <f t="shared" si="88"/>
        <v>105</v>
      </c>
      <c r="T999">
        <f t="shared" si="88"/>
        <v>114</v>
      </c>
      <c r="U999">
        <f t="shared" si="88"/>
        <v>46</v>
      </c>
      <c r="V999">
        <f t="shared" si="88"/>
        <v>104</v>
      </c>
      <c r="W999" s="5">
        <f t="shared" ref="W999:W1062" si="89">ROUND((O999*O$1+P999/P$1+Q999*Q$1+R999/R$1)+SUM(S999:V999),0)</f>
        <v>838</v>
      </c>
      <c r="X999" s="9" t="str">
        <f t="shared" ref="X999:X1062" si="90">MID(G999,2,1)&amp;TEXT(W999,"###")</f>
        <v>j838</v>
      </c>
    </row>
    <row r="1000" spans="1:24" x14ac:dyDescent="0.2">
      <c r="A1000" s="9" t="s">
        <v>425</v>
      </c>
      <c r="B1000" s="9">
        <v>3</v>
      </c>
      <c r="C1000" s="25">
        <v>3</v>
      </c>
      <c r="D1000" s="25"/>
      <c r="E1000" s="23">
        <v>45348</v>
      </c>
      <c r="F1000" s="23" t="s">
        <v>280</v>
      </c>
      <c r="G1000" s="25" t="s">
        <v>288</v>
      </c>
      <c r="H1000" s="24">
        <v>0</v>
      </c>
      <c r="I1000" s="25" t="s">
        <v>8</v>
      </c>
      <c r="J1000" s="32" t="s">
        <v>7</v>
      </c>
      <c r="K1000" s="24" t="s">
        <v>9</v>
      </c>
      <c r="L1000" s="25">
        <f t="shared" si="87"/>
        <v>682</v>
      </c>
      <c r="M1000" s="4" t="str">
        <f>IF(Table3[[#This Row],[Afrondingsdatum YB]]="N/A","-",Table3[[#This Row],[Afrondingsdatum YB]]-Table3[[#This Row],[StartDatum]])</f>
        <v>-</v>
      </c>
      <c r="N1000" s="4"/>
      <c r="O1000">
        <f t="shared" si="88"/>
        <v>103</v>
      </c>
      <c r="P1000">
        <f t="shared" si="88"/>
        <v>108</v>
      </c>
      <c r="Q1000">
        <f t="shared" si="88"/>
        <v>101</v>
      </c>
      <c r="R1000">
        <f t="shared" si="88"/>
        <v>110</v>
      </c>
      <c r="S1000">
        <f t="shared" si="88"/>
        <v>110</v>
      </c>
      <c r="T1000">
        <f t="shared" si="88"/>
        <v>46</v>
      </c>
      <c r="U1000">
        <f t="shared" si="88"/>
        <v>104</v>
      </c>
      <c r="V1000">
        <f t="shared" si="88"/>
        <v>101</v>
      </c>
      <c r="W1000" s="5">
        <f t="shared" si="89"/>
        <v>849</v>
      </c>
      <c r="X1000" s="9" t="str">
        <f t="shared" si="90"/>
        <v>l849</v>
      </c>
    </row>
    <row r="1001" spans="1:24" x14ac:dyDescent="0.2">
      <c r="A1001" s="9" t="s">
        <v>425</v>
      </c>
      <c r="B1001" s="9">
        <v>3</v>
      </c>
      <c r="C1001" s="25">
        <v>3</v>
      </c>
      <c r="D1001" s="25"/>
      <c r="E1001" s="23">
        <v>45348</v>
      </c>
      <c r="F1001" s="23" t="s">
        <v>283</v>
      </c>
      <c r="G1001" s="25" t="s">
        <v>289</v>
      </c>
      <c r="H1001" s="24">
        <v>0</v>
      </c>
      <c r="I1001" s="25" t="s">
        <v>8</v>
      </c>
      <c r="J1001" s="32" t="s">
        <v>7</v>
      </c>
      <c r="K1001" s="24" t="s">
        <v>9</v>
      </c>
      <c r="L1001" s="25">
        <f t="shared" si="87"/>
        <v>675</v>
      </c>
      <c r="M1001" s="4" t="str">
        <f>IF(Table3[[#This Row],[Afrondingsdatum YB]]="N/A","-",Table3[[#This Row],[Afrondingsdatum YB]]-Table3[[#This Row],[StartDatum]])</f>
        <v>-</v>
      </c>
      <c r="N1001" s="4"/>
      <c r="O1001">
        <f t="shared" si="88"/>
        <v>103</v>
      </c>
      <c r="P1001">
        <f t="shared" si="88"/>
        <v>114</v>
      </c>
      <c r="Q1001">
        <f t="shared" si="88"/>
        <v>97</v>
      </c>
      <c r="R1001">
        <f t="shared" si="88"/>
        <v>99</v>
      </c>
      <c r="S1001">
        <f t="shared" si="88"/>
        <v>101</v>
      </c>
      <c r="T1001">
        <f t="shared" si="88"/>
        <v>46</v>
      </c>
      <c r="U1001">
        <f t="shared" si="88"/>
        <v>115</v>
      </c>
      <c r="V1001">
        <f t="shared" si="88"/>
        <v>101</v>
      </c>
      <c r="W1001" s="5">
        <f t="shared" si="89"/>
        <v>839</v>
      </c>
      <c r="X1001" s="9" t="str">
        <f t="shared" si="90"/>
        <v>r839</v>
      </c>
    </row>
    <row r="1002" spans="1:24" x14ac:dyDescent="0.2">
      <c r="A1002" s="9" t="s">
        <v>425</v>
      </c>
      <c r="B1002" s="9">
        <v>3</v>
      </c>
      <c r="C1002" s="25">
        <v>3</v>
      </c>
      <c r="D1002" s="25"/>
      <c r="E1002" s="23">
        <v>45348</v>
      </c>
      <c r="F1002" s="23" t="s">
        <v>283</v>
      </c>
      <c r="G1002" s="25" t="s">
        <v>290</v>
      </c>
      <c r="H1002" s="24">
        <v>0.53</v>
      </c>
      <c r="I1002" s="25" t="s">
        <v>107</v>
      </c>
      <c r="J1002" s="32" t="s">
        <v>7</v>
      </c>
      <c r="K1002" s="24" t="s">
        <v>9</v>
      </c>
      <c r="L1002" s="25">
        <f t="shared" si="87"/>
        <v>677</v>
      </c>
      <c r="M1002" s="4" t="str">
        <f>IF(Table3[[#This Row],[Afrondingsdatum YB]]="N/A","-",Table3[[#This Row],[Afrondingsdatum YB]]-Table3[[#This Row],[StartDatum]])</f>
        <v>-</v>
      </c>
      <c r="N1002" s="4"/>
      <c r="O1002">
        <f t="shared" si="88"/>
        <v>105</v>
      </c>
      <c r="P1002">
        <f t="shared" si="88"/>
        <v>108</v>
      </c>
      <c r="Q1002">
        <f t="shared" si="88"/>
        <v>105</v>
      </c>
      <c r="R1002">
        <f t="shared" si="88"/>
        <v>97</v>
      </c>
      <c r="S1002">
        <f t="shared" si="88"/>
        <v>115</v>
      </c>
      <c r="T1002">
        <f t="shared" si="88"/>
        <v>46</v>
      </c>
      <c r="U1002">
        <f t="shared" si="88"/>
        <v>101</v>
      </c>
      <c r="V1002">
        <f t="shared" si="88"/>
        <v>108</v>
      </c>
      <c r="W1002" s="5">
        <f t="shared" si="89"/>
        <v>868</v>
      </c>
      <c r="X1002" s="9" t="str">
        <f t="shared" si="90"/>
        <v>l868</v>
      </c>
    </row>
    <row r="1003" spans="1:24" x14ac:dyDescent="0.2">
      <c r="A1003" s="9" t="s">
        <v>425</v>
      </c>
      <c r="B1003" s="9">
        <v>3</v>
      </c>
      <c r="C1003" s="25">
        <v>3</v>
      </c>
      <c r="D1003" s="25"/>
      <c r="E1003" s="23">
        <v>45348</v>
      </c>
      <c r="F1003" s="23" t="s">
        <v>283</v>
      </c>
      <c r="G1003" s="25" t="s">
        <v>291</v>
      </c>
      <c r="H1003" s="24">
        <v>0</v>
      </c>
      <c r="I1003" s="25" t="s">
        <v>8</v>
      </c>
      <c r="J1003" s="32" t="s">
        <v>7</v>
      </c>
      <c r="K1003" s="24" t="s">
        <v>9</v>
      </c>
      <c r="L1003" s="25">
        <f t="shared" si="87"/>
        <v>638</v>
      </c>
      <c r="M1003" s="4" t="str">
        <f>IF(Table3[[#This Row],[Afrondingsdatum YB]]="N/A","-",Table3[[#This Row],[Afrondingsdatum YB]]-Table3[[#This Row],[StartDatum]])</f>
        <v>-</v>
      </c>
      <c r="N1003" s="4"/>
      <c r="O1003">
        <f t="shared" si="88"/>
        <v>73</v>
      </c>
      <c r="P1003">
        <f t="shared" si="88"/>
        <v>115</v>
      </c>
      <c r="Q1003">
        <f t="shared" si="88"/>
        <v>97</v>
      </c>
      <c r="R1003">
        <f t="shared" si="88"/>
        <v>98</v>
      </c>
      <c r="S1003">
        <f t="shared" si="88"/>
        <v>101</v>
      </c>
      <c r="T1003">
        <f t="shared" si="88"/>
        <v>108</v>
      </c>
      <c r="U1003">
        <f t="shared" si="88"/>
        <v>46</v>
      </c>
      <c r="V1003">
        <f t="shared" si="88"/>
        <v>109</v>
      </c>
      <c r="W1003" s="5">
        <f t="shared" si="89"/>
        <v>810</v>
      </c>
      <c r="X1003" s="9" t="str">
        <f t="shared" si="90"/>
        <v>s810</v>
      </c>
    </row>
    <row r="1004" spans="1:24" x14ac:dyDescent="0.2">
      <c r="A1004" s="9" t="s">
        <v>425</v>
      </c>
      <c r="B1004" s="9">
        <v>3</v>
      </c>
      <c r="C1004" s="25">
        <v>3</v>
      </c>
      <c r="D1004" s="25"/>
      <c r="E1004" s="23">
        <v>45348</v>
      </c>
      <c r="F1004" s="23" t="s">
        <v>280</v>
      </c>
      <c r="G1004" s="25" t="s">
        <v>292</v>
      </c>
      <c r="H1004" s="24">
        <v>0</v>
      </c>
      <c r="I1004" s="25" t="s">
        <v>8</v>
      </c>
      <c r="J1004" s="32" t="s">
        <v>7</v>
      </c>
      <c r="K1004" s="24" t="s">
        <v>9</v>
      </c>
      <c r="L1004" s="25">
        <f t="shared" si="87"/>
        <v>673</v>
      </c>
      <c r="M1004" s="4" t="str">
        <f>IF(Table3[[#This Row],[Afrondingsdatum YB]]="N/A","-",Table3[[#This Row],[Afrondingsdatum YB]]-Table3[[#This Row],[StartDatum]])</f>
        <v>-</v>
      </c>
      <c r="N1004" s="4"/>
      <c r="O1004">
        <f t="shared" si="88"/>
        <v>106</v>
      </c>
      <c r="P1004">
        <f t="shared" si="88"/>
        <v>97</v>
      </c>
      <c r="Q1004">
        <f t="shared" si="88"/>
        <v>105</v>
      </c>
      <c r="R1004">
        <f t="shared" si="88"/>
        <v>114</v>
      </c>
      <c r="S1004">
        <f t="shared" si="88"/>
        <v>46</v>
      </c>
      <c r="T1004">
        <f t="shared" si="88"/>
        <v>104</v>
      </c>
      <c r="U1004">
        <f t="shared" si="88"/>
        <v>101</v>
      </c>
      <c r="V1004">
        <f t="shared" si="88"/>
        <v>107</v>
      </c>
      <c r="W1004" s="5">
        <f t="shared" si="89"/>
        <v>856</v>
      </c>
      <c r="X1004" s="9" t="str">
        <f t="shared" si="90"/>
        <v>a856</v>
      </c>
    </row>
    <row r="1005" spans="1:24" x14ac:dyDescent="0.2">
      <c r="A1005" s="9" t="s">
        <v>425</v>
      </c>
      <c r="B1005" s="9">
        <v>3</v>
      </c>
      <c r="C1005" s="25">
        <v>3</v>
      </c>
      <c r="D1005" s="25"/>
      <c r="E1005" s="23">
        <v>45348</v>
      </c>
      <c r="F1005" s="23" t="s">
        <v>283</v>
      </c>
      <c r="G1005" s="25" t="s">
        <v>293</v>
      </c>
      <c r="H1005" s="24">
        <v>0</v>
      </c>
      <c r="I1005" s="25" t="s">
        <v>8</v>
      </c>
      <c r="J1005" s="32" t="s">
        <v>7</v>
      </c>
      <c r="K1005" s="24" t="s">
        <v>9</v>
      </c>
      <c r="L1005" s="25">
        <f t="shared" si="87"/>
        <v>692</v>
      </c>
      <c r="M1005" s="4" t="str">
        <f>IF(Table3[[#This Row],[Afrondingsdatum YB]]="N/A","-",Table3[[#This Row],[Afrondingsdatum YB]]-Table3[[#This Row],[StartDatum]])</f>
        <v>-</v>
      </c>
      <c r="N1005" s="4"/>
      <c r="O1005">
        <f t="shared" si="88"/>
        <v>106</v>
      </c>
      <c r="P1005">
        <f t="shared" si="88"/>
        <v>101</v>
      </c>
      <c r="Q1005">
        <f t="shared" si="88"/>
        <v>115</v>
      </c>
      <c r="R1005">
        <f t="shared" si="88"/>
        <v>115</v>
      </c>
      <c r="S1005">
        <f t="shared" si="88"/>
        <v>101</v>
      </c>
      <c r="T1005">
        <f t="shared" si="88"/>
        <v>46</v>
      </c>
      <c r="U1005">
        <f t="shared" si="88"/>
        <v>108</v>
      </c>
      <c r="V1005">
        <f t="shared" si="88"/>
        <v>101</v>
      </c>
      <c r="W1005" s="5">
        <f t="shared" si="89"/>
        <v>886</v>
      </c>
      <c r="X1005" s="9" t="str">
        <f t="shared" si="90"/>
        <v>e886</v>
      </c>
    </row>
    <row r="1006" spans="1:24" x14ac:dyDescent="0.2">
      <c r="A1006" s="9" t="s">
        <v>425</v>
      </c>
      <c r="B1006" s="9">
        <v>3</v>
      </c>
      <c r="C1006" s="25">
        <v>3</v>
      </c>
      <c r="D1006" s="25"/>
      <c r="E1006" s="23">
        <v>45348</v>
      </c>
      <c r="F1006" s="23" t="s">
        <v>283</v>
      </c>
      <c r="G1006" s="25" t="s">
        <v>294</v>
      </c>
      <c r="H1006" s="24">
        <v>0</v>
      </c>
      <c r="I1006" s="25" t="s">
        <v>8</v>
      </c>
      <c r="J1006" s="32" t="s">
        <v>7</v>
      </c>
      <c r="K1006" s="24" t="s">
        <v>9</v>
      </c>
      <c r="L1006" s="25">
        <f t="shared" si="87"/>
        <v>681</v>
      </c>
      <c r="M1006" s="4" t="str">
        <f>IF(Table3[[#This Row],[Afrondingsdatum YB]]="N/A","-",Table3[[#This Row],[Afrondingsdatum YB]]-Table3[[#This Row],[StartDatum]])</f>
        <v>-</v>
      </c>
      <c r="N1006" s="4"/>
      <c r="O1006">
        <f t="shared" si="88"/>
        <v>106</v>
      </c>
      <c r="P1006">
        <f t="shared" si="88"/>
        <v>111</v>
      </c>
      <c r="Q1006">
        <f t="shared" si="88"/>
        <v>114</v>
      </c>
      <c r="R1006">
        <f t="shared" si="88"/>
        <v>100</v>
      </c>
      <c r="S1006">
        <f t="shared" si="88"/>
        <v>46</v>
      </c>
      <c r="T1006">
        <f t="shared" si="88"/>
        <v>107</v>
      </c>
      <c r="U1006">
        <f t="shared" si="88"/>
        <v>97</v>
      </c>
      <c r="V1006">
        <f t="shared" si="88"/>
        <v>114</v>
      </c>
      <c r="W1006" s="5">
        <f t="shared" si="89"/>
        <v>893</v>
      </c>
      <c r="X1006" s="9" t="str">
        <f t="shared" si="90"/>
        <v>o893</v>
      </c>
    </row>
    <row r="1007" spans="1:24" x14ac:dyDescent="0.2">
      <c r="A1007" s="9" t="s">
        <v>425</v>
      </c>
      <c r="B1007" s="9">
        <v>3</v>
      </c>
      <c r="C1007" s="25">
        <v>3</v>
      </c>
      <c r="D1007" s="25"/>
      <c r="E1007" s="23">
        <v>45348</v>
      </c>
      <c r="F1007" s="23" t="s">
        <v>280</v>
      </c>
      <c r="G1007" s="25" t="s">
        <v>295</v>
      </c>
      <c r="H1007" s="24">
        <v>0.19</v>
      </c>
      <c r="I1007" s="25" t="s">
        <v>102</v>
      </c>
      <c r="J1007" s="32" t="s">
        <v>7</v>
      </c>
      <c r="K1007" s="24" t="s">
        <v>9</v>
      </c>
      <c r="L1007" s="25">
        <f t="shared" si="87"/>
        <v>691</v>
      </c>
      <c r="M1007" s="4" t="str">
        <f>IF(Table3[[#This Row],[Afrondingsdatum YB]]="N/A","-",Table3[[#This Row],[Afrondingsdatum YB]]-Table3[[#This Row],[StartDatum]])</f>
        <v>-</v>
      </c>
      <c r="N1007" s="4"/>
      <c r="O1007">
        <f t="shared" si="88"/>
        <v>106</v>
      </c>
      <c r="P1007">
        <f t="shared" si="88"/>
        <v>111</v>
      </c>
      <c r="Q1007">
        <f t="shared" si="88"/>
        <v>121</v>
      </c>
      <c r="R1007">
        <f t="shared" si="88"/>
        <v>99</v>
      </c>
      <c r="S1007">
        <f t="shared" si="88"/>
        <v>101</v>
      </c>
      <c r="T1007">
        <f t="shared" si="88"/>
        <v>46</v>
      </c>
      <c r="U1007">
        <f t="shared" si="88"/>
        <v>107</v>
      </c>
      <c r="V1007">
        <f t="shared" si="88"/>
        <v>111</v>
      </c>
      <c r="W1007" s="5">
        <f t="shared" si="89"/>
        <v>914</v>
      </c>
      <c r="X1007" s="9" t="str">
        <f t="shared" si="90"/>
        <v>o914</v>
      </c>
    </row>
    <row r="1008" spans="1:24" x14ac:dyDescent="0.2">
      <c r="A1008" s="9" t="s">
        <v>425</v>
      </c>
      <c r="B1008" s="9">
        <v>3</v>
      </c>
      <c r="C1008" s="25">
        <v>3</v>
      </c>
      <c r="D1008" s="25"/>
      <c r="E1008" s="23">
        <v>45348</v>
      </c>
      <c r="F1008" s="23" t="s">
        <v>283</v>
      </c>
      <c r="G1008" s="25" t="s">
        <v>296</v>
      </c>
      <c r="H1008" s="24">
        <v>0</v>
      </c>
      <c r="I1008" s="25" t="s">
        <v>8</v>
      </c>
      <c r="J1008" s="32" t="s">
        <v>7</v>
      </c>
      <c r="K1008" s="24" t="s">
        <v>9</v>
      </c>
      <c r="L1008" s="25">
        <f t="shared" si="87"/>
        <v>689</v>
      </c>
      <c r="M1008" s="4" t="str">
        <f>IF(Table3[[#This Row],[Afrondingsdatum YB]]="N/A","-",Table3[[#This Row],[Afrondingsdatum YB]]-Table3[[#This Row],[StartDatum]])</f>
        <v>-</v>
      </c>
      <c r="N1008" s="4"/>
      <c r="O1008">
        <f t="shared" si="88"/>
        <v>106</v>
      </c>
      <c r="P1008">
        <f t="shared" si="88"/>
        <v>117</v>
      </c>
      <c r="Q1008">
        <f t="shared" si="88"/>
        <v>108</v>
      </c>
      <c r="R1008">
        <f t="shared" ref="O1008:V1039" si="91">CODE(MID($G1008,R$1,1))</f>
        <v>105</v>
      </c>
      <c r="S1008">
        <f t="shared" si="91"/>
        <v>97</v>
      </c>
      <c r="T1008">
        <f t="shared" si="91"/>
        <v>110</v>
      </c>
      <c r="U1008">
        <f t="shared" si="91"/>
        <v>46</v>
      </c>
      <c r="V1008">
        <f t="shared" si="91"/>
        <v>109</v>
      </c>
      <c r="W1008" s="5">
        <f t="shared" si="89"/>
        <v>877</v>
      </c>
      <c r="X1008" s="9" t="str">
        <f t="shared" si="90"/>
        <v>u877</v>
      </c>
    </row>
    <row r="1009" spans="1:24" x14ac:dyDescent="0.2">
      <c r="A1009" s="9" t="s">
        <v>425</v>
      </c>
      <c r="B1009" s="9">
        <v>3</v>
      </c>
      <c r="C1009" s="25">
        <v>3</v>
      </c>
      <c r="D1009" s="25"/>
      <c r="E1009" s="23">
        <v>45348</v>
      </c>
      <c r="F1009" s="23" t="s">
        <v>283</v>
      </c>
      <c r="G1009" s="25" t="s">
        <v>297</v>
      </c>
      <c r="H1009" s="24">
        <v>0</v>
      </c>
      <c r="I1009" s="25" t="s">
        <v>8</v>
      </c>
      <c r="J1009" s="32" t="s">
        <v>7</v>
      </c>
      <c r="K1009" s="24" t="s">
        <v>9</v>
      </c>
      <c r="L1009" s="25">
        <f t="shared" si="87"/>
        <v>698</v>
      </c>
      <c r="M1009" s="4" t="str">
        <f>IF(Table3[[#This Row],[Afrondingsdatum YB]]="N/A","-",Table3[[#This Row],[Afrondingsdatum YB]]-Table3[[#This Row],[StartDatum]])</f>
        <v>-</v>
      </c>
      <c r="N1009" s="4"/>
      <c r="O1009">
        <f t="shared" si="91"/>
        <v>106</v>
      </c>
      <c r="P1009">
        <f t="shared" si="91"/>
        <v>117</v>
      </c>
      <c r="Q1009">
        <f t="shared" si="91"/>
        <v>114</v>
      </c>
      <c r="R1009">
        <f t="shared" si="91"/>
        <v>114</v>
      </c>
      <c r="S1009">
        <f t="shared" si="91"/>
        <v>101</v>
      </c>
      <c r="T1009">
        <f t="shared" si="91"/>
        <v>46</v>
      </c>
      <c r="U1009">
        <f t="shared" si="91"/>
        <v>100</v>
      </c>
      <c r="V1009">
        <f t="shared" si="91"/>
        <v>101</v>
      </c>
      <c r="W1009" s="5">
        <f t="shared" si="89"/>
        <v>883</v>
      </c>
      <c r="X1009" s="9" t="str">
        <f t="shared" si="90"/>
        <v>u883</v>
      </c>
    </row>
    <row r="1010" spans="1:24" x14ac:dyDescent="0.2">
      <c r="A1010" s="9" t="s">
        <v>425</v>
      </c>
      <c r="B1010" s="9">
        <v>3</v>
      </c>
      <c r="C1010" s="25">
        <v>3</v>
      </c>
      <c r="D1010" s="25"/>
      <c r="E1010" s="23">
        <v>45348</v>
      </c>
      <c r="F1010" s="23" t="s">
        <v>280</v>
      </c>
      <c r="G1010" s="25" t="s">
        <v>298</v>
      </c>
      <c r="H1010" s="24">
        <v>0</v>
      </c>
      <c r="I1010" s="25" t="s">
        <v>299</v>
      </c>
      <c r="J1010" s="32" t="s">
        <v>7</v>
      </c>
      <c r="K1010" s="24" t="s">
        <v>9</v>
      </c>
      <c r="L1010" s="25">
        <f t="shared" si="87"/>
        <v>685</v>
      </c>
      <c r="M1010" s="4" t="str">
        <f>IF(Table3[[#This Row],[Afrondingsdatum YB]]="N/A","-",Table3[[#This Row],[Afrondingsdatum YB]]-Table3[[#This Row],[StartDatum]])</f>
        <v>-</v>
      </c>
      <c r="N1010" s="4"/>
      <c r="O1010">
        <f t="shared" si="91"/>
        <v>75</v>
      </c>
      <c r="P1010">
        <f t="shared" si="91"/>
        <v>121</v>
      </c>
      <c r="Q1010">
        <f t="shared" si="91"/>
        <v>114</v>
      </c>
      <c r="R1010">
        <f t="shared" si="91"/>
        <v>111</v>
      </c>
      <c r="S1010">
        <f t="shared" si="91"/>
        <v>110</v>
      </c>
      <c r="T1010">
        <f t="shared" si="91"/>
        <v>46</v>
      </c>
      <c r="U1010">
        <f t="shared" si="91"/>
        <v>108</v>
      </c>
      <c r="V1010">
        <f t="shared" si="91"/>
        <v>101</v>
      </c>
      <c r="W1010" s="5">
        <f t="shared" si="89"/>
        <v>870</v>
      </c>
      <c r="X1010" s="9" t="str">
        <f t="shared" si="90"/>
        <v>y870</v>
      </c>
    </row>
    <row r="1011" spans="1:24" x14ac:dyDescent="0.2">
      <c r="A1011" s="9" t="s">
        <v>425</v>
      </c>
      <c r="B1011" s="9">
        <v>3</v>
      </c>
      <c r="C1011" s="25">
        <v>3</v>
      </c>
      <c r="D1011" s="25"/>
      <c r="E1011" s="23">
        <v>45348</v>
      </c>
      <c r="F1011" s="23" t="s">
        <v>280</v>
      </c>
      <c r="G1011" s="25" t="s">
        <v>300</v>
      </c>
      <c r="H1011" s="24">
        <v>0</v>
      </c>
      <c r="I1011" s="25" t="s">
        <v>8</v>
      </c>
      <c r="J1011" s="32" t="s">
        <v>7</v>
      </c>
      <c r="K1011" s="24" t="s">
        <v>9</v>
      </c>
      <c r="L1011" s="25">
        <f t="shared" si="87"/>
        <v>761</v>
      </c>
      <c r="M1011" s="4" t="str">
        <f>IF(Table3[[#This Row],[Afrondingsdatum YB]]="N/A","-",Table3[[#This Row],[Afrondingsdatum YB]]-Table3[[#This Row],[StartDatum]])</f>
        <v>-</v>
      </c>
      <c r="N1011" s="4"/>
      <c r="O1011">
        <f t="shared" si="91"/>
        <v>108</v>
      </c>
      <c r="P1011">
        <f t="shared" si="91"/>
        <v>117</v>
      </c>
      <c r="Q1011">
        <f t="shared" si="91"/>
        <v>99</v>
      </c>
      <c r="R1011">
        <f t="shared" si="91"/>
        <v>105</v>
      </c>
      <c r="S1011">
        <f t="shared" si="91"/>
        <v>97</v>
      </c>
      <c r="T1011">
        <f t="shared" si="91"/>
        <v>121</v>
      </c>
      <c r="U1011">
        <f t="shared" si="91"/>
        <v>114</v>
      </c>
      <c r="V1011">
        <f t="shared" si="91"/>
        <v>111</v>
      </c>
      <c r="W1011" s="5">
        <f t="shared" si="89"/>
        <v>933</v>
      </c>
      <c r="X1011" s="9" t="str">
        <f t="shared" si="90"/>
        <v>u933</v>
      </c>
    </row>
    <row r="1012" spans="1:24" x14ac:dyDescent="0.2">
      <c r="A1012" s="9" t="s">
        <v>425</v>
      </c>
      <c r="B1012" s="9">
        <v>3</v>
      </c>
      <c r="C1012" s="25">
        <v>3</v>
      </c>
      <c r="D1012" s="25"/>
      <c r="E1012" s="23">
        <v>45348</v>
      </c>
      <c r="F1012" s="23" t="s">
        <v>283</v>
      </c>
      <c r="G1012" s="25" t="s">
        <v>301</v>
      </c>
      <c r="H1012" s="24">
        <v>0</v>
      </c>
      <c r="I1012" s="25" t="s">
        <v>8</v>
      </c>
      <c r="J1012" s="32" t="s">
        <v>7</v>
      </c>
      <c r="K1012" s="24" t="s">
        <v>9</v>
      </c>
      <c r="L1012" s="25">
        <f t="shared" si="87"/>
        <v>762</v>
      </c>
      <c r="M1012" s="4" t="str">
        <f>IF(Table3[[#This Row],[Afrondingsdatum YB]]="N/A","-",Table3[[#This Row],[Afrondingsdatum YB]]-Table3[[#This Row],[StartDatum]])</f>
        <v>-</v>
      </c>
      <c r="N1012" s="4"/>
      <c r="O1012">
        <f t="shared" si="91"/>
        <v>108</v>
      </c>
      <c r="P1012">
        <f t="shared" si="91"/>
        <v>121</v>
      </c>
      <c r="Q1012">
        <f t="shared" si="91"/>
        <v>115</v>
      </c>
      <c r="R1012">
        <f t="shared" si="91"/>
        <v>97</v>
      </c>
      <c r="S1012">
        <f t="shared" si="91"/>
        <v>110</v>
      </c>
      <c r="T1012">
        <f t="shared" si="91"/>
        <v>110</v>
      </c>
      <c r="U1012">
        <f t="shared" si="91"/>
        <v>101</v>
      </c>
      <c r="V1012">
        <f t="shared" si="91"/>
        <v>46</v>
      </c>
      <c r="W1012" s="5">
        <f t="shared" si="89"/>
        <v>905</v>
      </c>
      <c r="X1012" s="9" t="str">
        <f t="shared" si="90"/>
        <v>y905</v>
      </c>
    </row>
    <row r="1013" spans="1:24" x14ac:dyDescent="0.2">
      <c r="A1013" s="9" t="s">
        <v>425</v>
      </c>
      <c r="B1013" s="9">
        <v>3</v>
      </c>
      <c r="C1013" s="25">
        <v>3</v>
      </c>
      <c r="D1013" s="25"/>
      <c r="E1013" s="23">
        <v>45348</v>
      </c>
      <c r="F1013" s="23" t="s">
        <v>283</v>
      </c>
      <c r="G1013" s="25" t="s">
        <v>302</v>
      </c>
      <c r="H1013" s="24">
        <v>1</v>
      </c>
      <c r="I1013" s="25" t="s">
        <v>207</v>
      </c>
      <c r="J1013" s="32">
        <v>45348</v>
      </c>
      <c r="K1013" s="24">
        <v>0.95</v>
      </c>
      <c r="L1013" s="25">
        <f t="shared" si="87"/>
        <v>697</v>
      </c>
      <c r="M1013" s="4">
        <f>IF(Table3[[#This Row],[Afrondingsdatum YB]]="N/A","-",Table3[[#This Row],[Afrondingsdatum YB]]-Table3[[#This Row],[StartDatum]])</f>
        <v>45348</v>
      </c>
      <c r="N1013" s="4"/>
      <c r="O1013">
        <f t="shared" si="91"/>
        <v>109</v>
      </c>
      <c r="P1013">
        <f t="shared" si="91"/>
        <v>101</v>
      </c>
      <c r="Q1013">
        <f t="shared" si="91"/>
        <v>108</v>
      </c>
      <c r="R1013">
        <f t="shared" si="91"/>
        <v>118</v>
      </c>
      <c r="S1013">
        <f t="shared" si="91"/>
        <v>105</v>
      </c>
      <c r="T1013">
        <f t="shared" si="91"/>
        <v>110</v>
      </c>
      <c r="U1013">
        <f t="shared" si="91"/>
        <v>46</v>
      </c>
      <c r="V1013">
        <f t="shared" si="91"/>
        <v>98</v>
      </c>
      <c r="W1013" s="5">
        <f t="shared" si="89"/>
        <v>872</v>
      </c>
      <c r="X1013" s="9" t="str">
        <f t="shared" si="90"/>
        <v>e872</v>
      </c>
    </row>
    <row r="1014" spans="1:24" x14ac:dyDescent="0.2">
      <c r="A1014" s="9" t="s">
        <v>425</v>
      </c>
      <c r="B1014" s="9">
        <v>3</v>
      </c>
      <c r="C1014" s="25">
        <v>3</v>
      </c>
      <c r="D1014" s="25"/>
      <c r="E1014" s="23">
        <v>45348</v>
      </c>
      <c r="F1014" s="23" t="s">
        <v>283</v>
      </c>
      <c r="G1014" s="25" t="s">
        <v>303</v>
      </c>
      <c r="H1014" s="24">
        <v>0</v>
      </c>
      <c r="I1014" s="25" t="s">
        <v>8</v>
      </c>
      <c r="J1014" s="32" t="s">
        <v>7</v>
      </c>
      <c r="K1014" s="24" t="s">
        <v>9</v>
      </c>
      <c r="L1014" s="25">
        <f t="shared" si="87"/>
        <v>691</v>
      </c>
      <c r="M1014" s="4" t="str">
        <f>IF(Table3[[#This Row],[Afrondingsdatum YB]]="N/A","-",Table3[[#This Row],[Afrondingsdatum YB]]-Table3[[#This Row],[StartDatum]])</f>
        <v>-</v>
      </c>
      <c r="N1014" s="4"/>
      <c r="O1014">
        <f t="shared" si="91"/>
        <v>109</v>
      </c>
      <c r="P1014">
        <f t="shared" si="91"/>
        <v>111</v>
      </c>
      <c r="Q1014">
        <f t="shared" si="91"/>
        <v>104</v>
      </c>
      <c r="R1014">
        <f t="shared" si="91"/>
        <v>105</v>
      </c>
      <c r="S1014">
        <f t="shared" si="91"/>
        <v>116</v>
      </c>
      <c r="T1014">
        <f t="shared" si="91"/>
        <v>46</v>
      </c>
      <c r="U1014">
        <f t="shared" si="91"/>
        <v>100</v>
      </c>
      <c r="V1014">
        <f t="shared" si="91"/>
        <v>97</v>
      </c>
      <c r="W1014" s="5">
        <f t="shared" si="89"/>
        <v>862</v>
      </c>
      <c r="X1014" s="9" t="str">
        <f t="shared" si="90"/>
        <v>o862</v>
      </c>
    </row>
    <row r="1015" spans="1:24" x14ac:dyDescent="0.2">
      <c r="A1015" s="9" t="s">
        <v>425</v>
      </c>
      <c r="B1015" s="9">
        <v>3</v>
      </c>
      <c r="C1015" s="25">
        <v>3</v>
      </c>
      <c r="D1015" s="25"/>
      <c r="E1015" s="23">
        <v>45348</v>
      </c>
      <c r="F1015" s="23" t="s">
        <v>280</v>
      </c>
      <c r="G1015" s="25" t="s">
        <v>304</v>
      </c>
      <c r="H1015" s="24">
        <v>0</v>
      </c>
      <c r="I1015" s="25" t="s">
        <v>8</v>
      </c>
      <c r="J1015" s="32" t="s">
        <v>7</v>
      </c>
      <c r="K1015" s="24" t="s">
        <v>9</v>
      </c>
      <c r="L1015" s="25">
        <f t="shared" si="87"/>
        <v>706</v>
      </c>
      <c r="M1015" s="4" t="str">
        <f>IF(Table3[[#This Row],[Afrondingsdatum YB]]="N/A","-",Table3[[#This Row],[Afrondingsdatum YB]]-Table3[[#This Row],[StartDatum]])</f>
        <v>-</v>
      </c>
      <c r="N1015" s="4"/>
      <c r="O1015">
        <f t="shared" si="91"/>
        <v>109</v>
      </c>
      <c r="P1015">
        <f t="shared" si="91"/>
        <v>111</v>
      </c>
      <c r="Q1015">
        <f t="shared" si="91"/>
        <v>108</v>
      </c>
      <c r="R1015">
        <f t="shared" si="91"/>
        <v>105</v>
      </c>
      <c r="S1015">
        <f t="shared" si="91"/>
        <v>116</v>
      </c>
      <c r="T1015">
        <f t="shared" si="91"/>
        <v>111</v>
      </c>
      <c r="U1015">
        <f t="shared" si="91"/>
        <v>46</v>
      </c>
      <c r="V1015">
        <f t="shared" si="91"/>
        <v>102</v>
      </c>
      <c r="W1015" s="5">
        <f t="shared" si="89"/>
        <v>890</v>
      </c>
      <c r="X1015" s="9" t="str">
        <f t="shared" si="90"/>
        <v>o890</v>
      </c>
    </row>
    <row r="1016" spans="1:24" x14ac:dyDescent="0.2">
      <c r="A1016" s="9" t="s">
        <v>425</v>
      </c>
      <c r="B1016" s="9">
        <v>3</v>
      </c>
      <c r="C1016" s="25">
        <v>3</v>
      </c>
      <c r="D1016" s="25"/>
      <c r="E1016" s="23">
        <v>45348</v>
      </c>
      <c r="F1016" s="23" t="s">
        <v>283</v>
      </c>
      <c r="G1016" s="25" t="s">
        <v>305</v>
      </c>
      <c r="H1016" s="24">
        <v>0</v>
      </c>
      <c r="I1016" s="25" t="s">
        <v>8</v>
      </c>
      <c r="J1016" s="32" t="s">
        <v>7</v>
      </c>
      <c r="K1016" s="24" t="s">
        <v>9</v>
      </c>
      <c r="L1016" s="25">
        <f t="shared" si="87"/>
        <v>726</v>
      </c>
      <c r="M1016" s="4" t="str">
        <f>IF(Table3[[#This Row],[Afrondingsdatum YB]]="N/A","-",Table3[[#This Row],[Afrondingsdatum YB]]-Table3[[#This Row],[StartDatum]])</f>
        <v>-</v>
      </c>
      <c r="N1016" s="4"/>
      <c r="O1016">
        <f t="shared" si="91"/>
        <v>77</v>
      </c>
      <c r="P1016">
        <f t="shared" si="91"/>
        <v>117</v>
      </c>
      <c r="Q1016">
        <f t="shared" si="91"/>
        <v>100</v>
      </c>
      <c r="R1016">
        <f t="shared" si="91"/>
        <v>97</v>
      </c>
      <c r="S1016">
        <f t="shared" si="91"/>
        <v>115</v>
      </c>
      <c r="T1016">
        <f t="shared" si="91"/>
        <v>115</v>
      </c>
      <c r="U1016">
        <f t="shared" si="91"/>
        <v>105</v>
      </c>
      <c r="V1016">
        <f t="shared" si="91"/>
        <v>114</v>
      </c>
      <c r="W1016" s="5">
        <f t="shared" si="89"/>
        <v>909</v>
      </c>
      <c r="X1016" s="9" t="str">
        <f t="shared" si="90"/>
        <v>u909</v>
      </c>
    </row>
    <row r="1017" spans="1:24" x14ac:dyDescent="0.2">
      <c r="A1017" s="9" t="s">
        <v>425</v>
      </c>
      <c r="B1017" s="9">
        <v>3</v>
      </c>
      <c r="C1017" s="25">
        <v>3</v>
      </c>
      <c r="D1017" s="25"/>
      <c r="E1017" s="23">
        <v>45348</v>
      </c>
      <c r="F1017" s="23" t="s">
        <v>280</v>
      </c>
      <c r="G1017" s="25" t="s">
        <v>306</v>
      </c>
      <c r="H1017" s="24">
        <v>0</v>
      </c>
      <c r="I1017" s="25" t="s">
        <v>8</v>
      </c>
      <c r="J1017" s="32" t="s">
        <v>7</v>
      </c>
      <c r="K1017" s="24" t="s">
        <v>9</v>
      </c>
      <c r="L1017" s="25">
        <f t="shared" si="87"/>
        <v>684</v>
      </c>
      <c r="M1017" s="4" t="str">
        <f>IF(Table3[[#This Row],[Afrondingsdatum YB]]="N/A","-",Table3[[#This Row],[Afrondingsdatum YB]]-Table3[[#This Row],[StartDatum]])</f>
        <v>-</v>
      </c>
      <c r="N1017" s="4"/>
      <c r="O1017">
        <f t="shared" si="91"/>
        <v>110</v>
      </c>
      <c r="P1017">
        <f t="shared" si="91"/>
        <v>97</v>
      </c>
      <c r="Q1017">
        <f t="shared" si="91"/>
        <v>114</v>
      </c>
      <c r="R1017">
        <f t="shared" si="91"/>
        <v>101</v>
      </c>
      <c r="S1017">
        <f t="shared" si="91"/>
        <v>107</v>
      </c>
      <c r="T1017">
        <f t="shared" si="91"/>
        <v>46</v>
      </c>
      <c r="U1017">
        <f t="shared" si="91"/>
        <v>109</v>
      </c>
      <c r="V1017">
        <f t="shared" si="91"/>
        <v>97</v>
      </c>
      <c r="W1017" s="5">
        <f t="shared" si="89"/>
        <v>885</v>
      </c>
      <c r="X1017" s="9" t="str">
        <f t="shared" si="90"/>
        <v>a885</v>
      </c>
    </row>
    <row r="1018" spans="1:24" x14ac:dyDescent="0.2">
      <c r="A1018" s="9" t="s">
        <v>425</v>
      </c>
      <c r="B1018" s="9">
        <v>3</v>
      </c>
      <c r="C1018" s="25">
        <v>3</v>
      </c>
      <c r="D1018" s="25"/>
      <c r="E1018" s="23">
        <v>45348</v>
      </c>
      <c r="F1018" s="23" t="s">
        <v>283</v>
      </c>
      <c r="G1018" s="25" t="s">
        <v>307</v>
      </c>
      <c r="H1018" s="24">
        <v>1</v>
      </c>
      <c r="I1018" s="25" t="s">
        <v>134</v>
      </c>
      <c r="J1018" s="32">
        <v>45345</v>
      </c>
      <c r="K1018" s="24">
        <v>0.98</v>
      </c>
      <c r="L1018" s="25">
        <f t="shared" si="87"/>
        <v>695</v>
      </c>
      <c r="M1018" s="4">
        <f>IF(Table3[[#This Row],[Afrondingsdatum YB]]="N/A","-",Table3[[#This Row],[Afrondingsdatum YB]]-Table3[[#This Row],[StartDatum]])</f>
        <v>45345</v>
      </c>
      <c r="N1018" s="4"/>
      <c r="O1018">
        <f t="shared" si="91"/>
        <v>114</v>
      </c>
      <c r="P1018">
        <f t="shared" si="91"/>
        <v>101</v>
      </c>
      <c r="Q1018">
        <f t="shared" si="91"/>
        <v>109</v>
      </c>
      <c r="R1018">
        <f t="shared" si="91"/>
        <v>121</v>
      </c>
      <c r="S1018">
        <f t="shared" si="91"/>
        <v>46</v>
      </c>
      <c r="T1018">
        <f t="shared" si="91"/>
        <v>97</v>
      </c>
      <c r="U1018">
        <f t="shared" si="91"/>
        <v>107</v>
      </c>
      <c r="V1018">
        <f t="shared" si="91"/>
        <v>98</v>
      </c>
      <c r="W1018" s="5">
        <f t="shared" si="89"/>
        <v>870</v>
      </c>
      <c r="X1018" s="9" t="str">
        <f t="shared" si="90"/>
        <v>e870</v>
      </c>
    </row>
    <row r="1019" spans="1:24" x14ac:dyDescent="0.2">
      <c r="A1019" s="9" t="s">
        <v>425</v>
      </c>
      <c r="B1019" s="9">
        <v>3</v>
      </c>
      <c r="C1019" s="25">
        <v>3</v>
      </c>
      <c r="D1019" s="25"/>
      <c r="E1019" s="23">
        <v>45348</v>
      </c>
      <c r="F1019" s="23" t="s">
        <v>280</v>
      </c>
      <c r="G1019" s="25" t="s">
        <v>308</v>
      </c>
      <c r="H1019" s="24">
        <v>0</v>
      </c>
      <c r="I1019" s="25" t="s">
        <v>8</v>
      </c>
      <c r="J1019" s="32" t="s">
        <v>7</v>
      </c>
      <c r="K1019" s="24" t="s">
        <v>9</v>
      </c>
      <c r="L1019" s="25">
        <f t="shared" si="87"/>
        <v>712</v>
      </c>
      <c r="M1019" s="4" t="str">
        <f>IF(Table3[[#This Row],[Afrondingsdatum YB]]="N/A","-",Table3[[#This Row],[Afrondingsdatum YB]]-Table3[[#This Row],[StartDatum]])</f>
        <v>-</v>
      </c>
      <c r="N1019" s="4"/>
      <c r="O1019">
        <f t="shared" si="91"/>
        <v>114</v>
      </c>
      <c r="P1019">
        <f t="shared" si="91"/>
        <v>111</v>
      </c>
      <c r="Q1019">
        <f t="shared" si="91"/>
        <v>119</v>
      </c>
      <c r="R1019">
        <f t="shared" si="91"/>
        <v>97</v>
      </c>
      <c r="S1019">
        <f t="shared" si="91"/>
        <v>110</v>
      </c>
      <c r="T1019">
        <f t="shared" si="91"/>
        <v>46</v>
      </c>
      <c r="U1019">
        <f t="shared" si="91"/>
        <v>115</v>
      </c>
      <c r="V1019">
        <f t="shared" si="91"/>
        <v>97</v>
      </c>
      <c r="W1019" s="5">
        <f t="shared" si="89"/>
        <v>919</v>
      </c>
      <c r="X1019" s="9" t="str">
        <f t="shared" si="90"/>
        <v>o919</v>
      </c>
    </row>
    <row r="1020" spans="1:24" x14ac:dyDescent="0.2">
      <c r="A1020" s="9" t="s">
        <v>425</v>
      </c>
      <c r="B1020" s="9">
        <v>3</v>
      </c>
      <c r="C1020" s="25">
        <v>3</v>
      </c>
      <c r="D1020" s="25"/>
      <c r="E1020" s="23">
        <v>45348</v>
      </c>
      <c r="F1020" s="23" t="s">
        <v>283</v>
      </c>
      <c r="G1020" s="25" t="s">
        <v>309</v>
      </c>
      <c r="H1020" s="24">
        <v>0</v>
      </c>
      <c r="I1020" s="25" t="s">
        <v>8</v>
      </c>
      <c r="J1020" s="32" t="s">
        <v>7</v>
      </c>
      <c r="K1020" s="24" t="s">
        <v>9</v>
      </c>
      <c r="L1020" s="25">
        <f t="shared" si="87"/>
        <v>736</v>
      </c>
      <c r="M1020" s="4" t="str">
        <f>IF(Table3[[#This Row],[Afrondingsdatum YB]]="N/A","-",Table3[[#This Row],[Afrondingsdatum YB]]-Table3[[#This Row],[StartDatum]])</f>
        <v>-</v>
      </c>
      <c r="N1020" s="4"/>
      <c r="O1020">
        <f t="shared" si="91"/>
        <v>115</v>
      </c>
      <c r="P1020">
        <f t="shared" si="91"/>
        <v>97</v>
      </c>
      <c r="Q1020">
        <f t="shared" si="91"/>
        <v>121</v>
      </c>
      <c r="R1020">
        <f t="shared" si="91"/>
        <v>102</v>
      </c>
      <c r="S1020">
        <f t="shared" si="91"/>
        <v>101</v>
      </c>
      <c r="T1020">
        <f t="shared" si="91"/>
        <v>100</v>
      </c>
      <c r="U1020">
        <f t="shared" si="91"/>
        <v>100</v>
      </c>
      <c r="V1020">
        <f t="shared" si="91"/>
        <v>105</v>
      </c>
      <c r="W1020" s="5">
        <f t="shared" si="89"/>
        <v>958</v>
      </c>
      <c r="X1020" s="9" t="str">
        <f t="shared" si="90"/>
        <v>a958</v>
      </c>
    </row>
    <row r="1021" spans="1:24" x14ac:dyDescent="0.2">
      <c r="A1021" s="9" t="s">
        <v>425</v>
      </c>
      <c r="B1021" s="9">
        <v>3</v>
      </c>
      <c r="C1021" s="25">
        <v>3</v>
      </c>
      <c r="D1021" s="25"/>
      <c r="E1021" s="23">
        <v>45348</v>
      </c>
      <c r="F1021" s="23" t="s">
        <v>283</v>
      </c>
      <c r="G1021" s="25" t="s">
        <v>310</v>
      </c>
      <c r="H1021" s="24">
        <v>0</v>
      </c>
      <c r="I1021" s="25" t="s">
        <v>8</v>
      </c>
      <c r="J1021" s="32" t="s">
        <v>7</v>
      </c>
      <c r="K1021" s="24" t="s">
        <v>9</v>
      </c>
      <c r="L1021" s="25">
        <f t="shared" si="87"/>
        <v>724</v>
      </c>
      <c r="M1021" s="4" t="str">
        <f>IF(Table3[[#This Row],[Afrondingsdatum YB]]="N/A","-",Table3[[#This Row],[Afrondingsdatum YB]]-Table3[[#This Row],[StartDatum]])</f>
        <v>-</v>
      </c>
      <c r="N1021" s="4"/>
      <c r="O1021">
        <f t="shared" si="91"/>
        <v>116</v>
      </c>
      <c r="P1021">
        <f t="shared" si="91"/>
        <v>111</v>
      </c>
      <c r="Q1021">
        <f t="shared" si="91"/>
        <v>109</v>
      </c>
      <c r="R1021">
        <f t="shared" si="91"/>
        <v>109</v>
      </c>
      <c r="S1021">
        <f t="shared" si="91"/>
        <v>121</v>
      </c>
      <c r="T1021">
        <f t="shared" si="91"/>
        <v>46</v>
      </c>
      <c r="U1021">
        <f t="shared" si="91"/>
        <v>112</v>
      </c>
      <c r="V1021">
        <f t="shared" si="91"/>
        <v>111</v>
      </c>
      <c r="W1021" s="5">
        <f t="shared" si="89"/>
        <v>916</v>
      </c>
      <c r="X1021" s="9" t="str">
        <f t="shared" si="90"/>
        <v>o916</v>
      </c>
    </row>
    <row r="1022" spans="1:24" x14ac:dyDescent="0.2">
      <c r="A1022" s="9" t="s">
        <v>425</v>
      </c>
      <c r="B1022" s="9">
        <v>3</v>
      </c>
      <c r="C1022" s="25">
        <v>3</v>
      </c>
      <c r="D1022" s="25"/>
      <c r="E1022" s="23">
        <v>45348</v>
      </c>
      <c r="F1022" s="23" t="s">
        <v>280</v>
      </c>
      <c r="G1022" s="25" t="s">
        <v>311</v>
      </c>
      <c r="H1022" s="24">
        <v>0</v>
      </c>
      <c r="I1022" s="25" t="s">
        <v>8</v>
      </c>
      <c r="J1022" s="32" t="s">
        <v>7</v>
      </c>
      <c r="K1022" s="24" t="s">
        <v>9</v>
      </c>
      <c r="L1022" s="25">
        <f t="shared" si="87"/>
        <v>758</v>
      </c>
      <c r="M1022" s="4" t="str">
        <f>IF(Table3[[#This Row],[Afrondingsdatum YB]]="N/A","-",Table3[[#This Row],[Afrondingsdatum YB]]-Table3[[#This Row],[StartDatum]])</f>
        <v>-</v>
      </c>
      <c r="N1022" s="4"/>
      <c r="O1022">
        <f t="shared" si="91"/>
        <v>121</v>
      </c>
      <c r="P1022">
        <f t="shared" si="91"/>
        <v>97</v>
      </c>
      <c r="Q1022">
        <f t="shared" si="91"/>
        <v>115</v>
      </c>
      <c r="R1022">
        <f t="shared" si="91"/>
        <v>109</v>
      </c>
      <c r="S1022">
        <f t="shared" si="91"/>
        <v>105</v>
      </c>
      <c r="T1022">
        <f t="shared" si="91"/>
        <v>110</v>
      </c>
      <c r="U1022">
        <f t="shared" si="91"/>
        <v>101</v>
      </c>
      <c r="V1022">
        <f t="shared" si="91"/>
        <v>46</v>
      </c>
      <c r="W1022" s="5">
        <f t="shared" si="89"/>
        <v>904</v>
      </c>
      <c r="X1022" s="9" t="str">
        <f t="shared" si="90"/>
        <v>a904</v>
      </c>
    </row>
    <row r="1023" spans="1:24" x14ac:dyDescent="0.2">
      <c r="A1023" s="9" t="s">
        <v>425</v>
      </c>
      <c r="B1023" s="9">
        <v>3</v>
      </c>
      <c r="C1023" s="25">
        <v>3</v>
      </c>
      <c r="D1023" s="25"/>
      <c r="E1023" s="23">
        <v>45348</v>
      </c>
      <c r="F1023" s="23" t="s">
        <v>283</v>
      </c>
      <c r="G1023" s="25" t="s">
        <v>312</v>
      </c>
      <c r="H1023" s="24">
        <v>0.13</v>
      </c>
      <c r="I1023" s="25" t="s">
        <v>316</v>
      </c>
      <c r="J1023" s="32" t="s">
        <v>7</v>
      </c>
      <c r="K1023" s="24" t="s">
        <v>9</v>
      </c>
      <c r="L1023" s="25">
        <f t="shared" si="87"/>
        <v>790</v>
      </c>
      <c r="M1023" s="4" t="str">
        <f>IF(Table3[[#This Row],[Afrondingsdatum YB]]="N/A","-",Table3[[#This Row],[Afrondingsdatum YB]]-Table3[[#This Row],[StartDatum]])</f>
        <v>-</v>
      </c>
      <c r="N1023" s="4"/>
      <c r="O1023">
        <f t="shared" si="91"/>
        <v>121</v>
      </c>
      <c r="P1023">
        <f t="shared" si="91"/>
        <v>111</v>
      </c>
      <c r="Q1023">
        <f t="shared" si="91"/>
        <v>117</v>
      </c>
      <c r="R1023">
        <f t="shared" si="91"/>
        <v>115</v>
      </c>
      <c r="S1023">
        <f t="shared" si="91"/>
        <v>115</v>
      </c>
      <c r="T1023">
        <f t="shared" si="91"/>
        <v>114</v>
      </c>
      <c r="U1023">
        <f t="shared" si="91"/>
        <v>97</v>
      </c>
      <c r="V1023">
        <f t="shared" si="91"/>
        <v>46</v>
      </c>
      <c r="W1023" s="5">
        <f t="shared" si="89"/>
        <v>928</v>
      </c>
      <c r="X1023" s="9" t="str">
        <f t="shared" si="90"/>
        <v>o928</v>
      </c>
    </row>
    <row r="1024" spans="1:24" x14ac:dyDescent="0.2">
      <c r="A1024" s="9" t="s">
        <v>425</v>
      </c>
      <c r="B1024" s="9">
        <v>3</v>
      </c>
      <c r="C1024" s="25">
        <v>4</v>
      </c>
      <c r="D1024" s="25"/>
      <c r="E1024" s="23">
        <v>45355</v>
      </c>
      <c r="F1024" s="23" t="s">
        <v>280</v>
      </c>
      <c r="G1024" s="25" t="s">
        <v>281</v>
      </c>
      <c r="H1024" s="24">
        <v>0.18</v>
      </c>
      <c r="I1024" s="25" t="s">
        <v>317</v>
      </c>
      <c r="J1024" s="32" t="s">
        <v>7</v>
      </c>
      <c r="K1024" s="24" t="s">
        <v>9</v>
      </c>
      <c r="L1024" s="25">
        <f t="shared" si="87"/>
        <v>717</v>
      </c>
      <c r="M1024" s="4" t="str">
        <f>IF(Table3[[#This Row],[Afrondingsdatum YB]]="N/A","-",Table3[[#This Row],[Afrondingsdatum YB]]-Table3[[#This Row],[StartDatum]])</f>
        <v>-</v>
      </c>
      <c r="N1024" s="4"/>
      <c r="O1024">
        <f t="shared" si="91"/>
        <v>97</v>
      </c>
      <c r="P1024">
        <f t="shared" si="91"/>
        <v>98</v>
      </c>
      <c r="Q1024">
        <f t="shared" si="91"/>
        <v>100</v>
      </c>
      <c r="R1024">
        <f t="shared" si="91"/>
        <v>101</v>
      </c>
      <c r="S1024">
        <f t="shared" si="91"/>
        <v>108</v>
      </c>
      <c r="T1024">
        <f t="shared" si="91"/>
        <v>105</v>
      </c>
      <c r="U1024">
        <f t="shared" si="91"/>
        <v>108</v>
      </c>
      <c r="V1024">
        <f t="shared" si="91"/>
        <v>97</v>
      </c>
      <c r="W1024" s="5">
        <f t="shared" si="89"/>
        <v>889</v>
      </c>
      <c r="X1024" s="9" t="str">
        <f t="shared" si="90"/>
        <v>b889</v>
      </c>
    </row>
    <row r="1025" spans="1:24" x14ac:dyDescent="0.2">
      <c r="A1025" s="9" t="s">
        <v>425</v>
      </c>
      <c r="B1025" s="9">
        <v>3</v>
      </c>
      <c r="C1025" s="25">
        <v>4</v>
      </c>
      <c r="D1025" s="25"/>
      <c r="E1025" s="23">
        <v>45355</v>
      </c>
      <c r="F1025" s="23" t="s">
        <v>280</v>
      </c>
      <c r="G1025" s="25" t="s">
        <v>282</v>
      </c>
      <c r="H1025" s="24">
        <v>0</v>
      </c>
      <c r="I1025" s="25" t="s">
        <v>8</v>
      </c>
      <c r="J1025" s="32" t="s">
        <v>7</v>
      </c>
      <c r="K1025" s="24" t="s">
        <v>9</v>
      </c>
      <c r="L1025" s="25">
        <f t="shared" si="87"/>
        <v>675</v>
      </c>
      <c r="M1025" s="4" t="str">
        <f>IF(Table3[[#This Row],[Afrondingsdatum YB]]="N/A","-",Table3[[#This Row],[Afrondingsdatum YB]]-Table3[[#This Row],[StartDatum]])</f>
        <v>-</v>
      </c>
      <c r="N1025" s="4"/>
      <c r="O1025">
        <f t="shared" si="91"/>
        <v>97</v>
      </c>
      <c r="P1025">
        <f t="shared" si="91"/>
        <v>104</v>
      </c>
      <c r="Q1025">
        <f t="shared" si="91"/>
        <v>109</v>
      </c>
      <c r="R1025">
        <f t="shared" si="91"/>
        <v>97</v>
      </c>
      <c r="S1025">
        <f t="shared" si="91"/>
        <v>100</v>
      </c>
      <c r="T1025">
        <f t="shared" si="91"/>
        <v>46</v>
      </c>
      <c r="U1025">
        <f t="shared" si="91"/>
        <v>122</v>
      </c>
      <c r="V1025">
        <f t="shared" si="91"/>
        <v>97</v>
      </c>
      <c r="W1025" s="5">
        <f t="shared" si="89"/>
        <v>865</v>
      </c>
      <c r="X1025" s="9" t="str">
        <f t="shared" si="90"/>
        <v>h865</v>
      </c>
    </row>
    <row r="1026" spans="1:24" x14ac:dyDescent="0.2">
      <c r="A1026" s="9" t="s">
        <v>425</v>
      </c>
      <c r="B1026" s="9">
        <v>3</v>
      </c>
      <c r="C1026" s="25">
        <v>4</v>
      </c>
      <c r="D1026" s="25"/>
      <c r="E1026" s="23">
        <v>45355</v>
      </c>
      <c r="F1026" s="23" t="s">
        <v>283</v>
      </c>
      <c r="G1026" s="25" t="s">
        <v>284</v>
      </c>
      <c r="H1026" s="24">
        <v>1</v>
      </c>
      <c r="I1026" s="25" t="s">
        <v>208</v>
      </c>
      <c r="J1026" s="32">
        <v>45354</v>
      </c>
      <c r="K1026" s="24">
        <v>0.8</v>
      </c>
      <c r="L1026" s="25">
        <f t="shared" ref="L1026:L1067" si="92">SUM(O1026:U1026)</f>
        <v>656</v>
      </c>
      <c r="M1026" s="4">
        <f>IF(Table3[[#This Row],[Afrondingsdatum YB]]="N/A","-",Table3[[#This Row],[Afrondingsdatum YB]]-Table3[[#This Row],[StartDatum]])</f>
        <v>45354</v>
      </c>
      <c r="N1026" s="4"/>
      <c r="O1026">
        <f t="shared" si="91"/>
        <v>65</v>
      </c>
      <c r="P1026">
        <f t="shared" si="91"/>
        <v>104</v>
      </c>
      <c r="Q1026">
        <f t="shared" si="91"/>
        <v>109</v>
      </c>
      <c r="R1026">
        <f t="shared" si="91"/>
        <v>101</v>
      </c>
      <c r="S1026">
        <f t="shared" si="91"/>
        <v>116</v>
      </c>
      <c r="T1026">
        <f t="shared" si="91"/>
        <v>46</v>
      </c>
      <c r="U1026">
        <f t="shared" si="91"/>
        <v>115</v>
      </c>
      <c r="V1026">
        <f t="shared" si="91"/>
        <v>101</v>
      </c>
      <c r="W1026" s="5">
        <f t="shared" si="89"/>
        <v>847</v>
      </c>
      <c r="X1026" s="9" t="str">
        <f t="shared" si="90"/>
        <v>h847</v>
      </c>
    </row>
    <row r="1027" spans="1:24" x14ac:dyDescent="0.2">
      <c r="A1027" s="9" t="s">
        <v>425</v>
      </c>
      <c r="B1027" s="9">
        <v>3</v>
      </c>
      <c r="C1027" s="25">
        <v>4</v>
      </c>
      <c r="D1027" s="25"/>
      <c r="E1027" s="23">
        <v>45355</v>
      </c>
      <c r="F1027" s="23" t="s">
        <v>283</v>
      </c>
      <c r="G1027" s="25" t="s">
        <v>285</v>
      </c>
      <c r="H1027" s="24">
        <v>0</v>
      </c>
      <c r="I1027" s="25" t="s">
        <v>8</v>
      </c>
      <c r="J1027" s="32" t="s">
        <v>7</v>
      </c>
      <c r="K1027" s="24" t="s">
        <v>9</v>
      </c>
      <c r="L1027" s="25">
        <f t="shared" si="92"/>
        <v>747</v>
      </c>
      <c r="M1027" s="4" t="str">
        <f>IF(Table3[[#This Row],[Afrondingsdatum YB]]="N/A","-",Table3[[#This Row],[Afrondingsdatum YB]]-Table3[[#This Row],[StartDatum]])</f>
        <v>-</v>
      </c>
      <c r="N1027" s="4"/>
      <c r="O1027">
        <f t="shared" si="91"/>
        <v>97</v>
      </c>
      <c r="P1027">
        <f t="shared" si="91"/>
        <v>110</v>
      </c>
      <c r="Q1027">
        <f t="shared" si="91"/>
        <v>97</v>
      </c>
      <c r="R1027">
        <f t="shared" si="91"/>
        <v>115</v>
      </c>
      <c r="S1027">
        <f t="shared" si="91"/>
        <v>116</v>
      </c>
      <c r="T1027">
        <f t="shared" si="91"/>
        <v>97</v>
      </c>
      <c r="U1027">
        <f t="shared" si="91"/>
        <v>115</v>
      </c>
      <c r="V1027">
        <f t="shared" si="91"/>
        <v>105</v>
      </c>
      <c r="W1027" s="5">
        <f t="shared" si="89"/>
        <v>905</v>
      </c>
      <c r="X1027" s="9" t="str">
        <f t="shared" si="90"/>
        <v>n905</v>
      </c>
    </row>
    <row r="1028" spans="1:24" x14ac:dyDescent="0.2">
      <c r="A1028" s="9" t="s">
        <v>425</v>
      </c>
      <c r="B1028" s="9">
        <v>3</v>
      </c>
      <c r="C1028" s="25">
        <v>4</v>
      </c>
      <c r="D1028" s="25"/>
      <c r="E1028" s="23">
        <v>45355</v>
      </c>
      <c r="F1028" s="23" t="s">
        <v>283</v>
      </c>
      <c r="G1028" s="25" t="s">
        <v>286</v>
      </c>
      <c r="H1028" s="24">
        <v>1</v>
      </c>
      <c r="I1028" s="25" t="s">
        <v>238</v>
      </c>
      <c r="J1028" s="32">
        <v>45352</v>
      </c>
      <c r="K1028" s="24">
        <v>0.85</v>
      </c>
      <c r="L1028" s="25">
        <f t="shared" si="92"/>
        <v>645</v>
      </c>
      <c r="M1028" s="4">
        <f>IF(Table3[[#This Row],[Afrondingsdatum YB]]="N/A","-",Table3[[#This Row],[Afrondingsdatum YB]]-Table3[[#This Row],[StartDatum]])</f>
        <v>45352</v>
      </c>
      <c r="N1028" s="4"/>
      <c r="O1028">
        <f t="shared" si="91"/>
        <v>66</v>
      </c>
      <c r="P1028">
        <f t="shared" si="91"/>
        <v>97</v>
      </c>
      <c r="Q1028">
        <f t="shared" si="91"/>
        <v>115</v>
      </c>
      <c r="R1028">
        <f t="shared" si="91"/>
        <v>46</v>
      </c>
      <c r="S1028">
        <f t="shared" si="91"/>
        <v>107</v>
      </c>
      <c r="T1028">
        <f t="shared" si="91"/>
        <v>105</v>
      </c>
      <c r="U1028">
        <f t="shared" si="91"/>
        <v>109</v>
      </c>
      <c r="V1028">
        <f t="shared" si="91"/>
        <v>109</v>
      </c>
      <c r="W1028" s="5">
        <f t="shared" si="89"/>
        <v>901</v>
      </c>
      <c r="X1028" s="9" t="str">
        <f t="shared" si="90"/>
        <v>a901</v>
      </c>
    </row>
    <row r="1029" spans="1:24" x14ac:dyDescent="0.2">
      <c r="A1029" s="9" t="s">
        <v>425</v>
      </c>
      <c r="B1029" s="9">
        <v>3</v>
      </c>
      <c r="C1029" s="25">
        <v>4</v>
      </c>
      <c r="D1029" s="25"/>
      <c r="E1029" s="23">
        <v>45355</v>
      </c>
      <c r="F1029" s="23" t="s">
        <v>280</v>
      </c>
      <c r="G1029" s="25" t="s">
        <v>287</v>
      </c>
      <c r="H1029" s="24">
        <v>0</v>
      </c>
      <c r="I1029" s="25" t="s">
        <v>8</v>
      </c>
      <c r="J1029" s="32" t="s">
        <v>7</v>
      </c>
      <c r="K1029" s="24" t="s">
        <v>9</v>
      </c>
      <c r="L1029" s="25">
        <f t="shared" si="92"/>
        <v>666</v>
      </c>
      <c r="M1029" s="4" t="str">
        <f>IF(Table3[[#This Row],[Afrondingsdatum YB]]="N/A","-",Table3[[#This Row],[Afrondingsdatum YB]]-Table3[[#This Row],[StartDatum]])</f>
        <v>-</v>
      </c>
      <c r="N1029" s="4"/>
      <c r="O1029">
        <f t="shared" si="91"/>
        <v>100</v>
      </c>
      <c r="P1029">
        <f t="shared" si="91"/>
        <v>106</v>
      </c>
      <c r="Q1029">
        <f t="shared" si="91"/>
        <v>97</v>
      </c>
      <c r="R1029">
        <f t="shared" si="91"/>
        <v>98</v>
      </c>
      <c r="S1029">
        <f t="shared" si="91"/>
        <v>105</v>
      </c>
      <c r="T1029">
        <f t="shared" si="91"/>
        <v>114</v>
      </c>
      <c r="U1029">
        <f t="shared" si="91"/>
        <v>46</v>
      </c>
      <c r="V1029">
        <f t="shared" si="91"/>
        <v>104</v>
      </c>
      <c r="W1029" s="5">
        <f t="shared" si="89"/>
        <v>838</v>
      </c>
      <c r="X1029" s="9" t="str">
        <f t="shared" si="90"/>
        <v>j838</v>
      </c>
    </row>
    <row r="1030" spans="1:24" x14ac:dyDescent="0.2">
      <c r="A1030" s="9" t="s">
        <v>425</v>
      </c>
      <c r="B1030" s="9">
        <v>3</v>
      </c>
      <c r="C1030" s="25">
        <v>4</v>
      </c>
      <c r="D1030" s="25"/>
      <c r="E1030" s="23">
        <v>45355</v>
      </c>
      <c r="F1030" s="23" t="s">
        <v>280</v>
      </c>
      <c r="G1030" s="25" t="s">
        <v>288</v>
      </c>
      <c r="H1030" s="24">
        <v>0.1</v>
      </c>
      <c r="I1030" s="25" t="s">
        <v>194</v>
      </c>
      <c r="J1030" s="32" t="s">
        <v>7</v>
      </c>
      <c r="K1030" s="24" t="s">
        <v>9</v>
      </c>
      <c r="L1030" s="25">
        <f t="shared" si="92"/>
        <v>682</v>
      </c>
      <c r="M1030" s="4" t="str">
        <f>IF(Table3[[#This Row],[Afrondingsdatum YB]]="N/A","-",Table3[[#This Row],[Afrondingsdatum YB]]-Table3[[#This Row],[StartDatum]])</f>
        <v>-</v>
      </c>
      <c r="N1030" s="4"/>
      <c r="O1030">
        <f t="shared" si="91"/>
        <v>103</v>
      </c>
      <c r="P1030">
        <f t="shared" si="91"/>
        <v>108</v>
      </c>
      <c r="Q1030">
        <f t="shared" si="91"/>
        <v>101</v>
      </c>
      <c r="R1030">
        <f t="shared" si="91"/>
        <v>110</v>
      </c>
      <c r="S1030">
        <f t="shared" si="91"/>
        <v>110</v>
      </c>
      <c r="T1030">
        <f t="shared" si="91"/>
        <v>46</v>
      </c>
      <c r="U1030">
        <f t="shared" si="91"/>
        <v>104</v>
      </c>
      <c r="V1030">
        <f t="shared" si="91"/>
        <v>101</v>
      </c>
      <c r="W1030" s="5">
        <f t="shared" si="89"/>
        <v>849</v>
      </c>
      <c r="X1030" s="9" t="str">
        <f t="shared" si="90"/>
        <v>l849</v>
      </c>
    </row>
    <row r="1031" spans="1:24" x14ac:dyDescent="0.2">
      <c r="A1031" s="9" t="s">
        <v>425</v>
      </c>
      <c r="B1031" s="9">
        <v>3</v>
      </c>
      <c r="C1031" s="25">
        <v>4</v>
      </c>
      <c r="D1031" s="25"/>
      <c r="E1031" s="23">
        <v>45355</v>
      </c>
      <c r="F1031" s="23" t="s">
        <v>283</v>
      </c>
      <c r="G1031" s="25" t="s">
        <v>289</v>
      </c>
      <c r="H1031" s="24">
        <v>0</v>
      </c>
      <c r="I1031" s="25" t="s">
        <v>8</v>
      </c>
      <c r="J1031" s="32" t="s">
        <v>7</v>
      </c>
      <c r="K1031" s="24" t="s">
        <v>9</v>
      </c>
      <c r="L1031" s="25">
        <f t="shared" si="92"/>
        <v>675</v>
      </c>
      <c r="M1031" s="4" t="str">
        <f>IF(Table3[[#This Row],[Afrondingsdatum YB]]="N/A","-",Table3[[#This Row],[Afrondingsdatum YB]]-Table3[[#This Row],[StartDatum]])</f>
        <v>-</v>
      </c>
      <c r="N1031" s="4"/>
      <c r="O1031">
        <f t="shared" si="91"/>
        <v>103</v>
      </c>
      <c r="P1031">
        <f t="shared" si="91"/>
        <v>114</v>
      </c>
      <c r="Q1031">
        <f t="shared" si="91"/>
        <v>97</v>
      </c>
      <c r="R1031">
        <f t="shared" si="91"/>
        <v>99</v>
      </c>
      <c r="S1031">
        <f t="shared" si="91"/>
        <v>101</v>
      </c>
      <c r="T1031">
        <f t="shared" si="91"/>
        <v>46</v>
      </c>
      <c r="U1031">
        <f t="shared" si="91"/>
        <v>115</v>
      </c>
      <c r="V1031">
        <f t="shared" si="91"/>
        <v>101</v>
      </c>
      <c r="W1031" s="5">
        <f t="shared" si="89"/>
        <v>839</v>
      </c>
      <c r="X1031" s="9" t="str">
        <f t="shared" si="90"/>
        <v>r839</v>
      </c>
    </row>
    <row r="1032" spans="1:24" x14ac:dyDescent="0.2">
      <c r="A1032" s="9" t="s">
        <v>425</v>
      </c>
      <c r="B1032" s="9">
        <v>3</v>
      </c>
      <c r="C1032" s="25">
        <v>4</v>
      </c>
      <c r="D1032" s="25"/>
      <c r="E1032" s="23">
        <v>45355</v>
      </c>
      <c r="F1032" s="23" t="s">
        <v>283</v>
      </c>
      <c r="G1032" s="25" t="s">
        <v>290</v>
      </c>
      <c r="H1032" s="24">
        <v>0.77</v>
      </c>
      <c r="I1032" s="25" t="s">
        <v>172</v>
      </c>
      <c r="J1032" s="32" t="s">
        <v>7</v>
      </c>
      <c r="K1032" s="24" t="s">
        <v>9</v>
      </c>
      <c r="L1032" s="25">
        <f t="shared" si="92"/>
        <v>677</v>
      </c>
      <c r="M1032" s="4" t="str">
        <f>IF(Table3[[#This Row],[Afrondingsdatum YB]]="N/A","-",Table3[[#This Row],[Afrondingsdatum YB]]-Table3[[#This Row],[StartDatum]])</f>
        <v>-</v>
      </c>
      <c r="N1032" s="4"/>
      <c r="O1032">
        <f t="shared" si="91"/>
        <v>105</v>
      </c>
      <c r="P1032">
        <f t="shared" si="91"/>
        <v>108</v>
      </c>
      <c r="Q1032">
        <f t="shared" si="91"/>
        <v>105</v>
      </c>
      <c r="R1032">
        <f t="shared" si="91"/>
        <v>97</v>
      </c>
      <c r="S1032">
        <f t="shared" si="91"/>
        <v>115</v>
      </c>
      <c r="T1032">
        <f t="shared" si="91"/>
        <v>46</v>
      </c>
      <c r="U1032">
        <f t="shared" si="91"/>
        <v>101</v>
      </c>
      <c r="V1032">
        <f t="shared" si="91"/>
        <v>108</v>
      </c>
      <c r="W1032" s="5">
        <f t="shared" si="89"/>
        <v>868</v>
      </c>
      <c r="X1032" s="9" t="str">
        <f t="shared" si="90"/>
        <v>l868</v>
      </c>
    </row>
    <row r="1033" spans="1:24" x14ac:dyDescent="0.2">
      <c r="A1033" s="9" t="s">
        <v>425</v>
      </c>
      <c r="B1033" s="9">
        <v>3</v>
      </c>
      <c r="C1033" s="25">
        <v>4</v>
      </c>
      <c r="D1033" s="25"/>
      <c r="E1033" s="23">
        <v>45355</v>
      </c>
      <c r="F1033" s="23" t="s">
        <v>283</v>
      </c>
      <c r="G1033" s="25" t="s">
        <v>291</v>
      </c>
      <c r="H1033" s="24">
        <v>0</v>
      </c>
      <c r="I1033" s="25" t="s">
        <v>8</v>
      </c>
      <c r="J1033" s="32" t="s">
        <v>7</v>
      </c>
      <c r="K1033" s="24" t="s">
        <v>9</v>
      </c>
      <c r="L1033" s="25">
        <f t="shared" si="92"/>
        <v>638</v>
      </c>
      <c r="M1033" s="4" t="str">
        <f>IF(Table3[[#This Row],[Afrondingsdatum YB]]="N/A","-",Table3[[#This Row],[Afrondingsdatum YB]]-Table3[[#This Row],[StartDatum]])</f>
        <v>-</v>
      </c>
      <c r="N1033" s="4"/>
      <c r="O1033">
        <f t="shared" si="91"/>
        <v>73</v>
      </c>
      <c r="P1033">
        <f t="shared" si="91"/>
        <v>115</v>
      </c>
      <c r="Q1033">
        <f t="shared" si="91"/>
        <v>97</v>
      </c>
      <c r="R1033">
        <f t="shared" si="91"/>
        <v>98</v>
      </c>
      <c r="S1033">
        <f t="shared" si="91"/>
        <v>101</v>
      </c>
      <c r="T1033">
        <f t="shared" si="91"/>
        <v>108</v>
      </c>
      <c r="U1033">
        <f t="shared" si="91"/>
        <v>46</v>
      </c>
      <c r="V1033">
        <f t="shared" si="91"/>
        <v>109</v>
      </c>
      <c r="W1033" s="5">
        <f t="shared" si="89"/>
        <v>810</v>
      </c>
      <c r="X1033" s="9" t="str">
        <f t="shared" si="90"/>
        <v>s810</v>
      </c>
    </row>
    <row r="1034" spans="1:24" x14ac:dyDescent="0.2">
      <c r="A1034" s="9" t="s">
        <v>425</v>
      </c>
      <c r="B1034" s="9">
        <v>3</v>
      </c>
      <c r="C1034" s="25">
        <v>4</v>
      </c>
      <c r="D1034" s="25"/>
      <c r="E1034" s="23">
        <v>45355</v>
      </c>
      <c r="F1034" s="23" t="s">
        <v>280</v>
      </c>
      <c r="G1034" s="25" t="s">
        <v>292</v>
      </c>
      <c r="H1034" s="24">
        <v>0</v>
      </c>
      <c r="I1034" s="25" t="s">
        <v>8</v>
      </c>
      <c r="J1034" s="32" t="s">
        <v>7</v>
      </c>
      <c r="K1034" s="24" t="s">
        <v>9</v>
      </c>
      <c r="L1034" s="25">
        <f t="shared" si="92"/>
        <v>673</v>
      </c>
      <c r="M1034" s="4" t="str">
        <f>IF(Table3[[#This Row],[Afrondingsdatum YB]]="N/A","-",Table3[[#This Row],[Afrondingsdatum YB]]-Table3[[#This Row],[StartDatum]])</f>
        <v>-</v>
      </c>
      <c r="N1034" s="4"/>
      <c r="O1034">
        <f t="shared" si="91"/>
        <v>106</v>
      </c>
      <c r="P1034">
        <f t="shared" si="91"/>
        <v>97</v>
      </c>
      <c r="Q1034">
        <f t="shared" si="91"/>
        <v>105</v>
      </c>
      <c r="R1034">
        <f t="shared" si="91"/>
        <v>114</v>
      </c>
      <c r="S1034">
        <f t="shared" si="91"/>
        <v>46</v>
      </c>
      <c r="T1034">
        <f t="shared" si="91"/>
        <v>104</v>
      </c>
      <c r="U1034">
        <f t="shared" si="91"/>
        <v>101</v>
      </c>
      <c r="V1034">
        <f t="shared" si="91"/>
        <v>107</v>
      </c>
      <c r="W1034" s="5">
        <f t="shared" si="89"/>
        <v>856</v>
      </c>
      <c r="X1034" s="9" t="str">
        <f t="shared" si="90"/>
        <v>a856</v>
      </c>
    </row>
    <row r="1035" spans="1:24" x14ac:dyDescent="0.2">
      <c r="A1035" s="9" t="s">
        <v>425</v>
      </c>
      <c r="B1035" s="9">
        <v>3</v>
      </c>
      <c r="C1035" s="25">
        <v>4</v>
      </c>
      <c r="D1035" s="25"/>
      <c r="E1035" s="23">
        <v>45355</v>
      </c>
      <c r="F1035" s="23" t="s">
        <v>283</v>
      </c>
      <c r="G1035" s="25" t="s">
        <v>293</v>
      </c>
      <c r="H1035" s="24">
        <v>0</v>
      </c>
      <c r="I1035" s="25" t="s">
        <v>8</v>
      </c>
      <c r="J1035" s="32" t="s">
        <v>7</v>
      </c>
      <c r="K1035" s="24" t="s">
        <v>9</v>
      </c>
      <c r="L1035" s="25">
        <f t="shared" si="92"/>
        <v>692</v>
      </c>
      <c r="M1035" s="4" t="str">
        <f>IF(Table3[[#This Row],[Afrondingsdatum YB]]="N/A","-",Table3[[#This Row],[Afrondingsdatum YB]]-Table3[[#This Row],[StartDatum]])</f>
        <v>-</v>
      </c>
      <c r="N1035" s="4"/>
      <c r="O1035">
        <f t="shared" si="91"/>
        <v>106</v>
      </c>
      <c r="P1035">
        <f t="shared" si="91"/>
        <v>101</v>
      </c>
      <c r="Q1035">
        <f t="shared" si="91"/>
        <v>115</v>
      </c>
      <c r="R1035">
        <f t="shared" si="91"/>
        <v>115</v>
      </c>
      <c r="S1035">
        <f t="shared" si="91"/>
        <v>101</v>
      </c>
      <c r="T1035">
        <f t="shared" si="91"/>
        <v>46</v>
      </c>
      <c r="U1035">
        <f t="shared" si="91"/>
        <v>108</v>
      </c>
      <c r="V1035">
        <f t="shared" si="91"/>
        <v>101</v>
      </c>
      <c r="W1035" s="5">
        <f t="shared" si="89"/>
        <v>886</v>
      </c>
      <c r="X1035" s="9" t="str">
        <f t="shared" si="90"/>
        <v>e886</v>
      </c>
    </row>
    <row r="1036" spans="1:24" x14ac:dyDescent="0.2">
      <c r="A1036" s="9" t="s">
        <v>425</v>
      </c>
      <c r="B1036" s="9">
        <v>3</v>
      </c>
      <c r="C1036" s="25">
        <v>4</v>
      </c>
      <c r="D1036" s="25"/>
      <c r="E1036" s="23">
        <v>45355</v>
      </c>
      <c r="F1036" s="23" t="s">
        <v>283</v>
      </c>
      <c r="G1036" s="25" t="s">
        <v>294</v>
      </c>
      <c r="H1036" s="24">
        <v>0</v>
      </c>
      <c r="I1036" s="25" t="s">
        <v>8</v>
      </c>
      <c r="J1036" s="32" t="s">
        <v>7</v>
      </c>
      <c r="K1036" s="24" t="s">
        <v>9</v>
      </c>
      <c r="L1036" s="25">
        <f t="shared" si="92"/>
        <v>681</v>
      </c>
      <c r="M1036" s="4" t="str">
        <f>IF(Table3[[#This Row],[Afrondingsdatum YB]]="N/A","-",Table3[[#This Row],[Afrondingsdatum YB]]-Table3[[#This Row],[StartDatum]])</f>
        <v>-</v>
      </c>
      <c r="N1036" s="4"/>
      <c r="O1036">
        <f t="shared" si="91"/>
        <v>106</v>
      </c>
      <c r="P1036">
        <f t="shared" si="91"/>
        <v>111</v>
      </c>
      <c r="Q1036">
        <f t="shared" si="91"/>
        <v>114</v>
      </c>
      <c r="R1036">
        <f t="shared" si="91"/>
        <v>100</v>
      </c>
      <c r="S1036">
        <f t="shared" si="91"/>
        <v>46</v>
      </c>
      <c r="T1036">
        <f t="shared" si="91"/>
        <v>107</v>
      </c>
      <c r="U1036">
        <f t="shared" si="91"/>
        <v>97</v>
      </c>
      <c r="V1036">
        <f t="shared" si="91"/>
        <v>114</v>
      </c>
      <c r="W1036" s="5">
        <f t="shared" si="89"/>
        <v>893</v>
      </c>
      <c r="X1036" s="9" t="str">
        <f t="shared" si="90"/>
        <v>o893</v>
      </c>
    </row>
    <row r="1037" spans="1:24" x14ac:dyDescent="0.2">
      <c r="A1037" s="9" t="s">
        <v>425</v>
      </c>
      <c r="B1037" s="9">
        <v>3</v>
      </c>
      <c r="C1037" s="25">
        <v>4</v>
      </c>
      <c r="D1037" s="25"/>
      <c r="E1037" s="23">
        <v>45355</v>
      </c>
      <c r="F1037" s="23" t="s">
        <v>280</v>
      </c>
      <c r="G1037" s="25" t="s">
        <v>295</v>
      </c>
      <c r="H1037" s="24">
        <v>0.23</v>
      </c>
      <c r="I1037" s="25" t="s">
        <v>77</v>
      </c>
      <c r="J1037" s="32" t="s">
        <v>7</v>
      </c>
      <c r="K1037" s="24" t="s">
        <v>9</v>
      </c>
      <c r="L1037" s="25">
        <f t="shared" si="92"/>
        <v>691</v>
      </c>
      <c r="M1037" s="4" t="str">
        <f>IF(Table3[[#This Row],[Afrondingsdatum YB]]="N/A","-",Table3[[#This Row],[Afrondingsdatum YB]]-Table3[[#This Row],[StartDatum]])</f>
        <v>-</v>
      </c>
      <c r="N1037" s="4"/>
      <c r="O1037">
        <f t="shared" si="91"/>
        <v>106</v>
      </c>
      <c r="P1037">
        <f t="shared" si="91"/>
        <v>111</v>
      </c>
      <c r="Q1037">
        <f t="shared" si="91"/>
        <v>121</v>
      </c>
      <c r="R1037">
        <f t="shared" si="91"/>
        <v>99</v>
      </c>
      <c r="S1037">
        <f t="shared" si="91"/>
        <v>101</v>
      </c>
      <c r="T1037">
        <f t="shared" si="91"/>
        <v>46</v>
      </c>
      <c r="U1037">
        <f t="shared" si="91"/>
        <v>107</v>
      </c>
      <c r="V1037">
        <f t="shared" si="91"/>
        <v>111</v>
      </c>
      <c r="W1037" s="5">
        <f t="shared" si="89"/>
        <v>914</v>
      </c>
      <c r="X1037" s="9" t="str">
        <f t="shared" si="90"/>
        <v>o914</v>
      </c>
    </row>
    <row r="1038" spans="1:24" x14ac:dyDescent="0.2">
      <c r="A1038" s="9" t="s">
        <v>425</v>
      </c>
      <c r="B1038" s="9">
        <v>3</v>
      </c>
      <c r="C1038" s="25">
        <v>4</v>
      </c>
      <c r="D1038" s="25"/>
      <c r="E1038" s="23">
        <v>45355</v>
      </c>
      <c r="F1038" s="23" t="s">
        <v>283</v>
      </c>
      <c r="G1038" s="25" t="s">
        <v>296</v>
      </c>
      <c r="H1038" s="24">
        <v>0</v>
      </c>
      <c r="I1038" s="25" t="s">
        <v>8</v>
      </c>
      <c r="J1038" s="32" t="s">
        <v>7</v>
      </c>
      <c r="K1038" s="24" t="s">
        <v>9</v>
      </c>
      <c r="L1038" s="25">
        <f t="shared" si="92"/>
        <v>689</v>
      </c>
      <c r="M1038" s="4" t="str">
        <f>IF(Table3[[#This Row],[Afrondingsdatum YB]]="N/A","-",Table3[[#This Row],[Afrondingsdatum YB]]-Table3[[#This Row],[StartDatum]])</f>
        <v>-</v>
      </c>
      <c r="N1038" s="4"/>
      <c r="O1038">
        <f t="shared" si="91"/>
        <v>106</v>
      </c>
      <c r="P1038">
        <f t="shared" si="91"/>
        <v>117</v>
      </c>
      <c r="Q1038">
        <f t="shared" si="91"/>
        <v>108</v>
      </c>
      <c r="R1038">
        <f t="shared" si="91"/>
        <v>105</v>
      </c>
      <c r="S1038">
        <f t="shared" si="91"/>
        <v>97</v>
      </c>
      <c r="T1038">
        <f t="shared" si="91"/>
        <v>110</v>
      </c>
      <c r="U1038">
        <f t="shared" si="91"/>
        <v>46</v>
      </c>
      <c r="V1038">
        <f t="shared" si="91"/>
        <v>109</v>
      </c>
      <c r="W1038" s="5">
        <f t="shared" si="89"/>
        <v>877</v>
      </c>
      <c r="X1038" s="9" t="str">
        <f t="shared" si="90"/>
        <v>u877</v>
      </c>
    </row>
    <row r="1039" spans="1:24" x14ac:dyDescent="0.2">
      <c r="A1039" s="9" t="s">
        <v>425</v>
      </c>
      <c r="B1039" s="9">
        <v>3</v>
      </c>
      <c r="C1039" s="25">
        <v>4</v>
      </c>
      <c r="D1039" s="25"/>
      <c r="E1039" s="23">
        <v>45355</v>
      </c>
      <c r="F1039" s="23" t="s">
        <v>283</v>
      </c>
      <c r="G1039" s="25" t="s">
        <v>297</v>
      </c>
      <c r="H1039" s="24">
        <v>0</v>
      </c>
      <c r="I1039" s="25" t="s">
        <v>8</v>
      </c>
      <c r="J1039" s="32" t="s">
        <v>7</v>
      </c>
      <c r="K1039" s="24" t="s">
        <v>9</v>
      </c>
      <c r="L1039" s="25">
        <f t="shared" si="92"/>
        <v>698</v>
      </c>
      <c r="M1039" s="4" t="str">
        <f>IF(Table3[[#This Row],[Afrondingsdatum YB]]="N/A","-",Table3[[#This Row],[Afrondingsdatum YB]]-Table3[[#This Row],[StartDatum]])</f>
        <v>-</v>
      </c>
      <c r="N1039" s="4"/>
      <c r="O1039">
        <f t="shared" si="91"/>
        <v>106</v>
      </c>
      <c r="P1039">
        <f t="shared" si="91"/>
        <v>117</v>
      </c>
      <c r="Q1039">
        <f t="shared" si="91"/>
        <v>114</v>
      </c>
      <c r="R1039">
        <f t="shared" si="91"/>
        <v>114</v>
      </c>
      <c r="S1039">
        <f t="shared" si="91"/>
        <v>101</v>
      </c>
      <c r="T1039">
        <f t="shared" si="91"/>
        <v>46</v>
      </c>
      <c r="U1039">
        <f t="shared" si="91"/>
        <v>100</v>
      </c>
      <c r="V1039">
        <f t="shared" si="91"/>
        <v>101</v>
      </c>
      <c r="W1039" s="5">
        <f t="shared" si="89"/>
        <v>883</v>
      </c>
      <c r="X1039" s="9" t="str">
        <f t="shared" si="90"/>
        <v>u883</v>
      </c>
    </row>
    <row r="1040" spans="1:24" x14ac:dyDescent="0.2">
      <c r="A1040" s="9" t="s">
        <v>425</v>
      </c>
      <c r="B1040" s="9">
        <v>3</v>
      </c>
      <c r="C1040" s="25">
        <v>4</v>
      </c>
      <c r="D1040" s="25"/>
      <c r="E1040" s="23">
        <v>45355</v>
      </c>
      <c r="F1040" s="23" t="s">
        <v>280</v>
      </c>
      <c r="G1040" s="25" t="s">
        <v>298</v>
      </c>
      <c r="H1040" s="24">
        <v>0</v>
      </c>
      <c r="I1040" s="25" t="s">
        <v>299</v>
      </c>
      <c r="J1040" s="32" t="s">
        <v>7</v>
      </c>
      <c r="K1040" s="24" t="s">
        <v>9</v>
      </c>
      <c r="L1040" s="25">
        <f t="shared" si="92"/>
        <v>685</v>
      </c>
      <c r="M1040" s="4" t="str">
        <f>IF(Table3[[#This Row],[Afrondingsdatum YB]]="N/A","-",Table3[[#This Row],[Afrondingsdatum YB]]-Table3[[#This Row],[StartDatum]])</f>
        <v>-</v>
      </c>
      <c r="N1040" s="4"/>
      <c r="O1040">
        <f t="shared" ref="O1040:V1071" si="93">CODE(MID($G1040,O$1,1))</f>
        <v>75</v>
      </c>
      <c r="P1040">
        <f t="shared" si="93"/>
        <v>121</v>
      </c>
      <c r="Q1040">
        <f t="shared" si="93"/>
        <v>114</v>
      </c>
      <c r="R1040">
        <f t="shared" si="93"/>
        <v>111</v>
      </c>
      <c r="S1040">
        <f t="shared" si="93"/>
        <v>110</v>
      </c>
      <c r="T1040">
        <f t="shared" si="93"/>
        <v>46</v>
      </c>
      <c r="U1040">
        <f t="shared" si="93"/>
        <v>108</v>
      </c>
      <c r="V1040">
        <f t="shared" si="93"/>
        <v>101</v>
      </c>
      <c r="W1040" s="5">
        <f t="shared" si="89"/>
        <v>870</v>
      </c>
      <c r="X1040" s="9" t="str">
        <f t="shared" si="90"/>
        <v>y870</v>
      </c>
    </row>
    <row r="1041" spans="1:24" x14ac:dyDescent="0.2">
      <c r="A1041" s="9" t="s">
        <v>425</v>
      </c>
      <c r="B1041" s="9">
        <v>3</v>
      </c>
      <c r="C1041" s="25">
        <v>4</v>
      </c>
      <c r="D1041" s="25"/>
      <c r="E1041" s="23">
        <v>45355</v>
      </c>
      <c r="F1041" s="23" t="s">
        <v>280</v>
      </c>
      <c r="G1041" s="25" t="s">
        <v>300</v>
      </c>
      <c r="H1041" s="24">
        <v>0</v>
      </c>
      <c r="I1041" s="25" t="s">
        <v>8</v>
      </c>
      <c r="J1041" s="32" t="s">
        <v>7</v>
      </c>
      <c r="K1041" s="24" t="s">
        <v>9</v>
      </c>
      <c r="L1041" s="25">
        <f t="shared" si="92"/>
        <v>761</v>
      </c>
      <c r="M1041" s="4" t="str">
        <f>IF(Table3[[#This Row],[Afrondingsdatum YB]]="N/A","-",Table3[[#This Row],[Afrondingsdatum YB]]-Table3[[#This Row],[StartDatum]])</f>
        <v>-</v>
      </c>
      <c r="N1041" s="4"/>
      <c r="O1041">
        <f t="shared" si="93"/>
        <v>108</v>
      </c>
      <c r="P1041">
        <f t="shared" si="93"/>
        <v>117</v>
      </c>
      <c r="Q1041">
        <f t="shared" si="93"/>
        <v>99</v>
      </c>
      <c r="R1041">
        <f t="shared" si="93"/>
        <v>105</v>
      </c>
      <c r="S1041">
        <f t="shared" si="93"/>
        <v>97</v>
      </c>
      <c r="T1041">
        <f t="shared" si="93"/>
        <v>121</v>
      </c>
      <c r="U1041">
        <f t="shared" si="93"/>
        <v>114</v>
      </c>
      <c r="V1041">
        <f t="shared" si="93"/>
        <v>111</v>
      </c>
      <c r="W1041" s="5">
        <f t="shared" si="89"/>
        <v>933</v>
      </c>
      <c r="X1041" s="9" t="str">
        <f t="shared" si="90"/>
        <v>u933</v>
      </c>
    </row>
    <row r="1042" spans="1:24" x14ac:dyDescent="0.2">
      <c r="A1042" s="9" t="s">
        <v>425</v>
      </c>
      <c r="B1042" s="9">
        <v>3</v>
      </c>
      <c r="C1042" s="25">
        <v>4</v>
      </c>
      <c r="D1042" s="25"/>
      <c r="E1042" s="23">
        <v>45355</v>
      </c>
      <c r="F1042" s="23" t="s">
        <v>283</v>
      </c>
      <c r="G1042" s="25" t="s">
        <v>301</v>
      </c>
      <c r="H1042" s="24">
        <v>0</v>
      </c>
      <c r="I1042" s="25" t="s">
        <v>8</v>
      </c>
      <c r="J1042" s="32" t="s">
        <v>7</v>
      </c>
      <c r="K1042" s="24" t="s">
        <v>9</v>
      </c>
      <c r="L1042" s="25">
        <f t="shared" si="92"/>
        <v>762</v>
      </c>
      <c r="M1042" s="4" t="str">
        <f>IF(Table3[[#This Row],[Afrondingsdatum YB]]="N/A","-",Table3[[#This Row],[Afrondingsdatum YB]]-Table3[[#This Row],[StartDatum]])</f>
        <v>-</v>
      </c>
      <c r="N1042" s="4"/>
      <c r="O1042">
        <f t="shared" si="93"/>
        <v>108</v>
      </c>
      <c r="P1042">
        <f t="shared" si="93"/>
        <v>121</v>
      </c>
      <c r="Q1042">
        <f t="shared" si="93"/>
        <v>115</v>
      </c>
      <c r="R1042">
        <f t="shared" si="93"/>
        <v>97</v>
      </c>
      <c r="S1042">
        <f t="shared" si="93"/>
        <v>110</v>
      </c>
      <c r="T1042">
        <f t="shared" si="93"/>
        <v>110</v>
      </c>
      <c r="U1042">
        <f t="shared" si="93"/>
        <v>101</v>
      </c>
      <c r="V1042">
        <f t="shared" si="93"/>
        <v>46</v>
      </c>
      <c r="W1042" s="5">
        <f t="shared" si="89"/>
        <v>905</v>
      </c>
      <c r="X1042" s="9" t="str">
        <f t="shared" si="90"/>
        <v>y905</v>
      </c>
    </row>
    <row r="1043" spans="1:24" x14ac:dyDescent="0.2">
      <c r="A1043" s="9" t="s">
        <v>425</v>
      </c>
      <c r="B1043" s="9">
        <v>3</v>
      </c>
      <c r="C1043" s="25">
        <v>4</v>
      </c>
      <c r="D1043" s="25"/>
      <c r="E1043" s="23">
        <v>45355</v>
      </c>
      <c r="F1043" s="23" t="s">
        <v>283</v>
      </c>
      <c r="G1043" s="25" t="s">
        <v>302</v>
      </c>
      <c r="H1043" s="24">
        <v>1</v>
      </c>
      <c r="I1043" s="25" t="s">
        <v>207</v>
      </c>
      <c r="J1043" s="32">
        <v>45348</v>
      </c>
      <c r="K1043" s="24">
        <v>0.95</v>
      </c>
      <c r="L1043" s="25">
        <f t="shared" si="92"/>
        <v>697</v>
      </c>
      <c r="M1043" s="4">
        <f>IF(Table3[[#This Row],[Afrondingsdatum YB]]="N/A","-",Table3[[#This Row],[Afrondingsdatum YB]]-Table3[[#This Row],[StartDatum]])</f>
        <v>45348</v>
      </c>
      <c r="N1043" s="4"/>
      <c r="O1043">
        <f t="shared" si="93"/>
        <v>109</v>
      </c>
      <c r="P1043">
        <f t="shared" si="93"/>
        <v>101</v>
      </c>
      <c r="Q1043">
        <f t="shared" si="93"/>
        <v>108</v>
      </c>
      <c r="R1043">
        <f t="shared" si="93"/>
        <v>118</v>
      </c>
      <c r="S1043">
        <f t="shared" si="93"/>
        <v>105</v>
      </c>
      <c r="T1043">
        <f t="shared" si="93"/>
        <v>110</v>
      </c>
      <c r="U1043">
        <f t="shared" si="93"/>
        <v>46</v>
      </c>
      <c r="V1043">
        <f t="shared" si="93"/>
        <v>98</v>
      </c>
      <c r="W1043" s="5">
        <f t="shared" si="89"/>
        <v>872</v>
      </c>
      <c r="X1043" s="9" t="str">
        <f t="shared" si="90"/>
        <v>e872</v>
      </c>
    </row>
    <row r="1044" spans="1:24" x14ac:dyDescent="0.2">
      <c r="A1044" s="9" t="s">
        <v>425</v>
      </c>
      <c r="B1044" s="9">
        <v>3</v>
      </c>
      <c r="C1044" s="25">
        <v>4</v>
      </c>
      <c r="D1044" s="25"/>
      <c r="E1044" s="23">
        <v>45355</v>
      </c>
      <c r="F1044" s="23" t="s">
        <v>283</v>
      </c>
      <c r="G1044" s="25" t="s">
        <v>303</v>
      </c>
      <c r="H1044" s="24">
        <v>0.04</v>
      </c>
      <c r="I1044" s="25" t="s">
        <v>98</v>
      </c>
      <c r="J1044" s="32" t="s">
        <v>7</v>
      </c>
      <c r="K1044" s="24" t="s">
        <v>9</v>
      </c>
      <c r="L1044" s="25">
        <f t="shared" si="92"/>
        <v>691</v>
      </c>
      <c r="M1044" s="4" t="str">
        <f>IF(Table3[[#This Row],[Afrondingsdatum YB]]="N/A","-",Table3[[#This Row],[Afrondingsdatum YB]]-Table3[[#This Row],[StartDatum]])</f>
        <v>-</v>
      </c>
      <c r="N1044" s="4"/>
      <c r="O1044">
        <f t="shared" si="93"/>
        <v>109</v>
      </c>
      <c r="P1044">
        <f t="shared" si="93"/>
        <v>111</v>
      </c>
      <c r="Q1044">
        <f t="shared" si="93"/>
        <v>104</v>
      </c>
      <c r="R1044">
        <f t="shared" si="93"/>
        <v>105</v>
      </c>
      <c r="S1044">
        <f t="shared" si="93"/>
        <v>116</v>
      </c>
      <c r="T1044">
        <f t="shared" si="93"/>
        <v>46</v>
      </c>
      <c r="U1044">
        <f t="shared" si="93"/>
        <v>100</v>
      </c>
      <c r="V1044">
        <f t="shared" si="93"/>
        <v>97</v>
      </c>
      <c r="W1044" s="5">
        <f t="shared" si="89"/>
        <v>862</v>
      </c>
      <c r="X1044" s="9" t="str">
        <f t="shared" si="90"/>
        <v>o862</v>
      </c>
    </row>
    <row r="1045" spans="1:24" x14ac:dyDescent="0.2">
      <c r="A1045" s="9" t="s">
        <v>425</v>
      </c>
      <c r="B1045" s="9">
        <v>3</v>
      </c>
      <c r="C1045" s="25">
        <v>4</v>
      </c>
      <c r="D1045" s="25"/>
      <c r="E1045" s="23">
        <v>45355</v>
      </c>
      <c r="F1045" s="23" t="s">
        <v>280</v>
      </c>
      <c r="G1045" s="25" t="s">
        <v>304</v>
      </c>
      <c r="H1045" s="24">
        <v>0.01</v>
      </c>
      <c r="I1045" s="25" t="s">
        <v>266</v>
      </c>
      <c r="J1045" s="32" t="s">
        <v>7</v>
      </c>
      <c r="K1045" s="24" t="s">
        <v>9</v>
      </c>
      <c r="L1045" s="25">
        <f t="shared" si="92"/>
        <v>706</v>
      </c>
      <c r="M1045" s="4" t="str">
        <f>IF(Table3[[#This Row],[Afrondingsdatum YB]]="N/A","-",Table3[[#This Row],[Afrondingsdatum YB]]-Table3[[#This Row],[StartDatum]])</f>
        <v>-</v>
      </c>
      <c r="N1045" s="4"/>
      <c r="O1045">
        <f t="shared" si="93"/>
        <v>109</v>
      </c>
      <c r="P1045">
        <f t="shared" si="93"/>
        <v>111</v>
      </c>
      <c r="Q1045">
        <f t="shared" si="93"/>
        <v>108</v>
      </c>
      <c r="R1045">
        <f t="shared" si="93"/>
        <v>105</v>
      </c>
      <c r="S1045">
        <f t="shared" si="93"/>
        <v>116</v>
      </c>
      <c r="T1045">
        <f t="shared" si="93"/>
        <v>111</v>
      </c>
      <c r="U1045">
        <f t="shared" si="93"/>
        <v>46</v>
      </c>
      <c r="V1045">
        <f t="shared" si="93"/>
        <v>102</v>
      </c>
      <c r="W1045" s="5">
        <f t="shared" si="89"/>
        <v>890</v>
      </c>
      <c r="X1045" s="9" t="str">
        <f t="shared" si="90"/>
        <v>o890</v>
      </c>
    </row>
    <row r="1046" spans="1:24" x14ac:dyDescent="0.2">
      <c r="A1046" s="9" t="s">
        <v>425</v>
      </c>
      <c r="B1046" s="9">
        <v>3</v>
      </c>
      <c r="C1046" s="25">
        <v>4</v>
      </c>
      <c r="D1046" s="25"/>
      <c r="E1046" s="23">
        <v>45355</v>
      </c>
      <c r="F1046" s="23" t="s">
        <v>283</v>
      </c>
      <c r="G1046" s="25" t="s">
        <v>305</v>
      </c>
      <c r="H1046" s="24">
        <v>0</v>
      </c>
      <c r="I1046" s="25" t="s">
        <v>8</v>
      </c>
      <c r="J1046" s="32" t="s">
        <v>7</v>
      </c>
      <c r="K1046" s="24" t="s">
        <v>9</v>
      </c>
      <c r="L1046" s="25">
        <f t="shared" si="92"/>
        <v>726</v>
      </c>
      <c r="M1046" s="4" t="str">
        <f>IF(Table3[[#This Row],[Afrondingsdatum YB]]="N/A","-",Table3[[#This Row],[Afrondingsdatum YB]]-Table3[[#This Row],[StartDatum]])</f>
        <v>-</v>
      </c>
      <c r="N1046" s="4"/>
      <c r="O1046">
        <f t="shared" si="93"/>
        <v>77</v>
      </c>
      <c r="P1046">
        <f t="shared" si="93"/>
        <v>117</v>
      </c>
      <c r="Q1046">
        <f t="shared" si="93"/>
        <v>100</v>
      </c>
      <c r="R1046">
        <f t="shared" si="93"/>
        <v>97</v>
      </c>
      <c r="S1046">
        <f t="shared" si="93"/>
        <v>115</v>
      </c>
      <c r="T1046">
        <f t="shared" si="93"/>
        <v>115</v>
      </c>
      <c r="U1046">
        <f t="shared" si="93"/>
        <v>105</v>
      </c>
      <c r="V1046">
        <f t="shared" si="93"/>
        <v>114</v>
      </c>
      <c r="W1046" s="5">
        <f t="shared" si="89"/>
        <v>909</v>
      </c>
      <c r="X1046" s="9" t="str">
        <f t="shared" si="90"/>
        <v>u909</v>
      </c>
    </row>
    <row r="1047" spans="1:24" x14ac:dyDescent="0.2">
      <c r="A1047" s="9" t="s">
        <v>425</v>
      </c>
      <c r="B1047" s="9">
        <v>3</v>
      </c>
      <c r="C1047" s="25">
        <v>4</v>
      </c>
      <c r="D1047" s="25"/>
      <c r="E1047" s="23">
        <v>45355</v>
      </c>
      <c r="F1047" s="23" t="s">
        <v>280</v>
      </c>
      <c r="G1047" s="25" t="s">
        <v>306</v>
      </c>
      <c r="H1047" s="24">
        <v>0</v>
      </c>
      <c r="I1047" s="25" t="s">
        <v>8</v>
      </c>
      <c r="J1047" s="32" t="s">
        <v>7</v>
      </c>
      <c r="K1047" s="24" t="s">
        <v>9</v>
      </c>
      <c r="L1047" s="25">
        <f t="shared" si="92"/>
        <v>684</v>
      </c>
      <c r="M1047" s="4" t="str">
        <f>IF(Table3[[#This Row],[Afrondingsdatum YB]]="N/A","-",Table3[[#This Row],[Afrondingsdatum YB]]-Table3[[#This Row],[StartDatum]])</f>
        <v>-</v>
      </c>
      <c r="N1047" s="4"/>
      <c r="O1047">
        <f t="shared" si="93"/>
        <v>110</v>
      </c>
      <c r="P1047">
        <f t="shared" si="93"/>
        <v>97</v>
      </c>
      <c r="Q1047">
        <f t="shared" si="93"/>
        <v>114</v>
      </c>
      <c r="R1047">
        <f t="shared" si="93"/>
        <v>101</v>
      </c>
      <c r="S1047">
        <f t="shared" si="93"/>
        <v>107</v>
      </c>
      <c r="T1047">
        <f t="shared" si="93"/>
        <v>46</v>
      </c>
      <c r="U1047">
        <f t="shared" si="93"/>
        <v>109</v>
      </c>
      <c r="V1047">
        <f t="shared" si="93"/>
        <v>97</v>
      </c>
      <c r="W1047" s="5">
        <f t="shared" si="89"/>
        <v>885</v>
      </c>
      <c r="X1047" s="9" t="str">
        <f t="shared" si="90"/>
        <v>a885</v>
      </c>
    </row>
    <row r="1048" spans="1:24" x14ac:dyDescent="0.2">
      <c r="A1048" s="9" t="s">
        <v>425</v>
      </c>
      <c r="B1048" s="9">
        <v>3</v>
      </c>
      <c r="C1048" s="25">
        <v>4</v>
      </c>
      <c r="D1048" s="25"/>
      <c r="E1048" s="23">
        <v>45355</v>
      </c>
      <c r="F1048" s="23" t="s">
        <v>283</v>
      </c>
      <c r="G1048" s="25" t="s">
        <v>307</v>
      </c>
      <c r="H1048" s="24">
        <v>1</v>
      </c>
      <c r="I1048" s="25" t="s">
        <v>134</v>
      </c>
      <c r="J1048" s="32">
        <v>45345</v>
      </c>
      <c r="K1048" s="24">
        <v>0.98</v>
      </c>
      <c r="L1048" s="25">
        <f t="shared" si="92"/>
        <v>695</v>
      </c>
      <c r="M1048" s="4">
        <f>IF(Table3[[#This Row],[Afrondingsdatum YB]]="N/A","-",Table3[[#This Row],[Afrondingsdatum YB]]-Table3[[#This Row],[StartDatum]])</f>
        <v>45345</v>
      </c>
      <c r="N1048" s="4"/>
      <c r="O1048">
        <f t="shared" si="93"/>
        <v>114</v>
      </c>
      <c r="P1048">
        <f t="shared" si="93"/>
        <v>101</v>
      </c>
      <c r="Q1048">
        <f t="shared" si="93"/>
        <v>109</v>
      </c>
      <c r="R1048">
        <f t="shared" si="93"/>
        <v>121</v>
      </c>
      <c r="S1048">
        <f t="shared" si="93"/>
        <v>46</v>
      </c>
      <c r="T1048">
        <f t="shared" si="93"/>
        <v>97</v>
      </c>
      <c r="U1048">
        <f t="shared" si="93"/>
        <v>107</v>
      </c>
      <c r="V1048">
        <f t="shared" si="93"/>
        <v>98</v>
      </c>
      <c r="W1048" s="5">
        <f t="shared" si="89"/>
        <v>870</v>
      </c>
      <c r="X1048" s="9" t="str">
        <f t="shared" si="90"/>
        <v>e870</v>
      </c>
    </row>
    <row r="1049" spans="1:24" x14ac:dyDescent="0.2">
      <c r="A1049" s="9" t="s">
        <v>425</v>
      </c>
      <c r="B1049" s="9">
        <v>3</v>
      </c>
      <c r="C1049" s="25">
        <v>4</v>
      </c>
      <c r="D1049" s="25"/>
      <c r="E1049" s="23">
        <v>45355</v>
      </c>
      <c r="F1049" s="23" t="s">
        <v>280</v>
      </c>
      <c r="G1049" s="25" t="s">
        <v>308</v>
      </c>
      <c r="H1049" s="24">
        <v>0</v>
      </c>
      <c r="I1049" s="25" t="s">
        <v>8</v>
      </c>
      <c r="J1049" s="32" t="s">
        <v>7</v>
      </c>
      <c r="K1049" s="24" t="s">
        <v>9</v>
      </c>
      <c r="L1049" s="25">
        <f t="shared" si="92"/>
        <v>712</v>
      </c>
      <c r="M1049" s="4" t="str">
        <f>IF(Table3[[#This Row],[Afrondingsdatum YB]]="N/A","-",Table3[[#This Row],[Afrondingsdatum YB]]-Table3[[#This Row],[StartDatum]])</f>
        <v>-</v>
      </c>
      <c r="N1049" s="4"/>
      <c r="O1049">
        <f t="shared" si="93"/>
        <v>114</v>
      </c>
      <c r="P1049">
        <f t="shared" si="93"/>
        <v>111</v>
      </c>
      <c r="Q1049">
        <f t="shared" si="93"/>
        <v>119</v>
      </c>
      <c r="R1049">
        <f t="shared" si="93"/>
        <v>97</v>
      </c>
      <c r="S1049">
        <f t="shared" si="93"/>
        <v>110</v>
      </c>
      <c r="T1049">
        <f t="shared" si="93"/>
        <v>46</v>
      </c>
      <c r="U1049">
        <f t="shared" si="93"/>
        <v>115</v>
      </c>
      <c r="V1049">
        <f t="shared" si="93"/>
        <v>97</v>
      </c>
      <c r="W1049" s="5">
        <f t="shared" si="89"/>
        <v>919</v>
      </c>
      <c r="X1049" s="9" t="str">
        <f t="shared" si="90"/>
        <v>o919</v>
      </c>
    </row>
    <row r="1050" spans="1:24" x14ac:dyDescent="0.2">
      <c r="A1050" s="9" t="s">
        <v>425</v>
      </c>
      <c r="B1050" s="9">
        <v>3</v>
      </c>
      <c r="C1050" s="25">
        <v>4</v>
      </c>
      <c r="D1050" s="25"/>
      <c r="E1050" s="23">
        <v>45355</v>
      </c>
      <c r="F1050" s="23" t="s">
        <v>283</v>
      </c>
      <c r="G1050" s="25" t="s">
        <v>309</v>
      </c>
      <c r="H1050" s="24">
        <v>0.32</v>
      </c>
      <c r="I1050" s="25" t="s">
        <v>232</v>
      </c>
      <c r="J1050" s="32" t="s">
        <v>7</v>
      </c>
      <c r="K1050" s="24" t="s">
        <v>9</v>
      </c>
      <c r="L1050" s="25">
        <f t="shared" si="92"/>
        <v>736</v>
      </c>
      <c r="M1050" s="4" t="str">
        <f>IF(Table3[[#This Row],[Afrondingsdatum YB]]="N/A","-",Table3[[#This Row],[Afrondingsdatum YB]]-Table3[[#This Row],[StartDatum]])</f>
        <v>-</v>
      </c>
      <c r="N1050" s="4"/>
      <c r="O1050">
        <f t="shared" si="93"/>
        <v>115</v>
      </c>
      <c r="P1050">
        <f t="shared" si="93"/>
        <v>97</v>
      </c>
      <c r="Q1050">
        <f t="shared" si="93"/>
        <v>121</v>
      </c>
      <c r="R1050">
        <f t="shared" si="93"/>
        <v>102</v>
      </c>
      <c r="S1050">
        <f t="shared" si="93"/>
        <v>101</v>
      </c>
      <c r="T1050">
        <f t="shared" si="93"/>
        <v>100</v>
      </c>
      <c r="U1050">
        <f t="shared" si="93"/>
        <v>100</v>
      </c>
      <c r="V1050">
        <f t="shared" si="93"/>
        <v>105</v>
      </c>
      <c r="W1050" s="5">
        <f t="shared" si="89"/>
        <v>958</v>
      </c>
      <c r="X1050" s="9" t="str">
        <f t="shared" si="90"/>
        <v>a958</v>
      </c>
    </row>
    <row r="1051" spans="1:24" x14ac:dyDescent="0.2">
      <c r="A1051" s="9" t="s">
        <v>425</v>
      </c>
      <c r="B1051" s="9">
        <v>3</v>
      </c>
      <c r="C1051" s="25">
        <v>4</v>
      </c>
      <c r="D1051" s="25"/>
      <c r="E1051" s="23">
        <v>45355</v>
      </c>
      <c r="F1051" s="23" t="s">
        <v>283</v>
      </c>
      <c r="G1051" s="25" t="s">
        <v>310</v>
      </c>
      <c r="H1051" s="24">
        <v>0</v>
      </c>
      <c r="I1051" s="25" t="s">
        <v>8</v>
      </c>
      <c r="J1051" s="32" t="s">
        <v>7</v>
      </c>
      <c r="K1051" s="24" t="s">
        <v>9</v>
      </c>
      <c r="L1051" s="25">
        <f t="shared" si="92"/>
        <v>724</v>
      </c>
      <c r="M1051" s="4" t="str">
        <f>IF(Table3[[#This Row],[Afrondingsdatum YB]]="N/A","-",Table3[[#This Row],[Afrondingsdatum YB]]-Table3[[#This Row],[StartDatum]])</f>
        <v>-</v>
      </c>
      <c r="N1051" s="4"/>
      <c r="O1051">
        <f t="shared" si="93"/>
        <v>116</v>
      </c>
      <c r="P1051">
        <f t="shared" si="93"/>
        <v>111</v>
      </c>
      <c r="Q1051">
        <f t="shared" si="93"/>
        <v>109</v>
      </c>
      <c r="R1051">
        <f t="shared" si="93"/>
        <v>109</v>
      </c>
      <c r="S1051">
        <f t="shared" si="93"/>
        <v>121</v>
      </c>
      <c r="T1051">
        <f t="shared" si="93"/>
        <v>46</v>
      </c>
      <c r="U1051">
        <f t="shared" si="93"/>
        <v>112</v>
      </c>
      <c r="V1051">
        <f t="shared" si="93"/>
        <v>111</v>
      </c>
      <c r="W1051" s="5">
        <f t="shared" si="89"/>
        <v>916</v>
      </c>
      <c r="X1051" s="9" t="str">
        <f t="shared" si="90"/>
        <v>o916</v>
      </c>
    </row>
    <row r="1052" spans="1:24" x14ac:dyDescent="0.2">
      <c r="A1052" s="9" t="s">
        <v>425</v>
      </c>
      <c r="B1052" s="9">
        <v>3</v>
      </c>
      <c r="C1052" s="25">
        <v>4</v>
      </c>
      <c r="D1052" s="25"/>
      <c r="E1052" s="23">
        <v>45355</v>
      </c>
      <c r="F1052" s="23" t="s">
        <v>280</v>
      </c>
      <c r="G1052" s="25" t="s">
        <v>311</v>
      </c>
      <c r="H1052" s="24">
        <v>0</v>
      </c>
      <c r="I1052" s="25" t="s">
        <v>8</v>
      </c>
      <c r="J1052" s="32" t="s">
        <v>7</v>
      </c>
      <c r="K1052" s="24" t="s">
        <v>9</v>
      </c>
      <c r="L1052" s="25">
        <f t="shared" si="92"/>
        <v>758</v>
      </c>
      <c r="M1052" s="4" t="str">
        <f>IF(Table3[[#This Row],[Afrondingsdatum YB]]="N/A","-",Table3[[#This Row],[Afrondingsdatum YB]]-Table3[[#This Row],[StartDatum]])</f>
        <v>-</v>
      </c>
      <c r="N1052" s="4"/>
      <c r="O1052">
        <f t="shared" si="93"/>
        <v>121</v>
      </c>
      <c r="P1052">
        <f t="shared" si="93"/>
        <v>97</v>
      </c>
      <c r="Q1052">
        <f t="shared" si="93"/>
        <v>115</v>
      </c>
      <c r="R1052">
        <f t="shared" si="93"/>
        <v>109</v>
      </c>
      <c r="S1052">
        <f t="shared" si="93"/>
        <v>105</v>
      </c>
      <c r="T1052">
        <f t="shared" si="93"/>
        <v>110</v>
      </c>
      <c r="U1052">
        <f t="shared" si="93"/>
        <v>101</v>
      </c>
      <c r="V1052">
        <f t="shared" si="93"/>
        <v>46</v>
      </c>
      <c r="W1052" s="5">
        <f t="shared" si="89"/>
        <v>904</v>
      </c>
      <c r="X1052" s="9" t="str">
        <f t="shared" si="90"/>
        <v>a904</v>
      </c>
    </row>
    <row r="1053" spans="1:24" x14ac:dyDescent="0.2">
      <c r="A1053" s="9" t="s">
        <v>425</v>
      </c>
      <c r="B1053" s="9">
        <v>3</v>
      </c>
      <c r="C1053" s="25">
        <v>4</v>
      </c>
      <c r="D1053" s="25"/>
      <c r="E1053" s="23">
        <v>45355</v>
      </c>
      <c r="F1053" s="23" t="s">
        <v>283</v>
      </c>
      <c r="G1053" s="25" t="s">
        <v>312</v>
      </c>
      <c r="H1053" s="24">
        <v>0.13</v>
      </c>
      <c r="I1053" s="25" t="s">
        <v>316</v>
      </c>
      <c r="J1053" s="32" t="s">
        <v>7</v>
      </c>
      <c r="K1053" s="24" t="s">
        <v>9</v>
      </c>
      <c r="L1053" s="25">
        <f t="shared" si="92"/>
        <v>790</v>
      </c>
      <c r="M1053" s="4" t="str">
        <f>IF(Table3[[#This Row],[Afrondingsdatum YB]]="N/A","-",Table3[[#This Row],[Afrondingsdatum YB]]-Table3[[#This Row],[StartDatum]])</f>
        <v>-</v>
      </c>
      <c r="N1053" s="4"/>
      <c r="O1053">
        <f t="shared" si="93"/>
        <v>121</v>
      </c>
      <c r="P1053">
        <f t="shared" si="93"/>
        <v>111</v>
      </c>
      <c r="Q1053">
        <f t="shared" si="93"/>
        <v>117</v>
      </c>
      <c r="R1053">
        <f t="shared" si="93"/>
        <v>115</v>
      </c>
      <c r="S1053">
        <f t="shared" si="93"/>
        <v>115</v>
      </c>
      <c r="T1053">
        <f t="shared" si="93"/>
        <v>114</v>
      </c>
      <c r="U1053">
        <f t="shared" si="93"/>
        <v>97</v>
      </c>
      <c r="V1053">
        <f t="shared" si="93"/>
        <v>46</v>
      </c>
      <c r="W1053" s="5">
        <f t="shared" si="89"/>
        <v>928</v>
      </c>
      <c r="X1053" s="9" t="str">
        <f t="shared" si="90"/>
        <v>o928</v>
      </c>
    </row>
    <row r="1054" spans="1:24" x14ac:dyDescent="0.2">
      <c r="A1054" s="9" t="s">
        <v>425</v>
      </c>
      <c r="B1054" s="9">
        <v>3</v>
      </c>
      <c r="C1054" s="25">
        <v>4</v>
      </c>
      <c r="D1054" s="25"/>
      <c r="E1054" s="23">
        <v>45355</v>
      </c>
      <c r="F1054" s="23" t="s">
        <v>280</v>
      </c>
      <c r="G1054" s="25" t="s">
        <v>318</v>
      </c>
      <c r="H1054" s="24">
        <v>0.06</v>
      </c>
      <c r="I1054" s="25" t="s">
        <v>196</v>
      </c>
      <c r="J1054" s="32" t="s">
        <v>7</v>
      </c>
      <c r="K1054" s="24" t="s">
        <v>9</v>
      </c>
      <c r="L1054" s="25">
        <f t="shared" si="92"/>
        <v>672</v>
      </c>
      <c r="M1054" s="4" t="str">
        <f>IF(Table3[[#This Row],[Afrondingsdatum YB]]="N/A","-",Table3[[#This Row],[Afrondingsdatum YB]]-Table3[[#This Row],[StartDatum]])</f>
        <v>-</v>
      </c>
      <c r="N1054" s="4"/>
      <c r="O1054">
        <f t="shared" si="93"/>
        <v>115</v>
      </c>
      <c r="P1054">
        <f t="shared" si="93"/>
        <v>101</v>
      </c>
      <c r="Q1054">
        <f t="shared" si="93"/>
        <v>98</v>
      </c>
      <c r="R1054">
        <f t="shared" si="93"/>
        <v>97</v>
      </c>
      <c r="S1054">
        <f t="shared" si="93"/>
        <v>115</v>
      </c>
      <c r="T1054">
        <f t="shared" si="93"/>
        <v>46</v>
      </c>
      <c r="U1054">
        <f t="shared" si="93"/>
        <v>100</v>
      </c>
      <c r="V1054">
        <f t="shared" si="93"/>
        <v>101</v>
      </c>
      <c r="W1054" s="5">
        <f t="shared" si="89"/>
        <v>846</v>
      </c>
      <c r="X1054" s="9" t="str">
        <f t="shared" si="90"/>
        <v>e846</v>
      </c>
    </row>
    <row r="1055" spans="1:24" x14ac:dyDescent="0.2">
      <c r="A1055" s="9" t="s">
        <v>425</v>
      </c>
      <c r="B1055" s="9">
        <v>3</v>
      </c>
      <c r="C1055" s="25">
        <v>5</v>
      </c>
      <c r="D1055" s="25"/>
      <c r="E1055" s="23">
        <v>45362</v>
      </c>
      <c r="F1055" s="23" t="s">
        <v>280</v>
      </c>
      <c r="G1055" s="25" t="s">
        <v>281</v>
      </c>
      <c r="H1055" s="24">
        <v>0.18</v>
      </c>
      <c r="I1055" s="25" t="s">
        <v>317</v>
      </c>
      <c r="J1055" s="32" t="s">
        <v>7</v>
      </c>
      <c r="K1055" s="24" t="s">
        <v>9</v>
      </c>
      <c r="L1055" s="25">
        <f t="shared" si="92"/>
        <v>717</v>
      </c>
      <c r="M1055" s="4" t="str">
        <f>IF(Table3[[#This Row],[Afrondingsdatum YB]]="N/A","-",Table3[[#This Row],[Afrondingsdatum YB]]-Table3[[#This Row],[StartDatum]])</f>
        <v>-</v>
      </c>
      <c r="N1055" s="4"/>
      <c r="O1055">
        <f t="shared" si="93"/>
        <v>97</v>
      </c>
      <c r="P1055">
        <f t="shared" si="93"/>
        <v>98</v>
      </c>
      <c r="Q1055">
        <f t="shared" si="93"/>
        <v>100</v>
      </c>
      <c r="R1055">
        <f t="shared" si="93"/>
        <v>101</v>
      </c>
      <c r="S1055">
        <f t="shared" si="93"/>
        <v>108</v>
      </c>
      <c r="T1055">
        <f t="shared" si="93"/>
        <v>105</v>
      </c>
      <c r="U1055">
        <f t="shared" si="93"/>
        <v>108</v>
      </c>
      <c r="V1055">
        <f t="shared" si="93"/>
        <v>97</v>
      </c>
      <c r="W1055" s="5">
        <f t="shared" si="89"/>
        <v>889</v>
      </c>
      <c r="X1055" s="9" t="str">
        <f t="shared" si="90"/>
        <v>b889</v>
      </c>
    </row>
    <row r="1056" spans="1:24" x14ac:dyDescent="0.2">
      <c r="A1056" s="9" t="s">
        <v>425</v>
      </c>
      <c r="B1056" s="9">
        <v>3</v>
      </c>
      <c r="C1056" s="25">
        <v>5</v>
      </c>
      <c r="D1056" s="25"/>
      <c r="E1056" s="23">
        <v>45362</v>
      </c>
      <c r="F1056" s="23" t="s">
        <v>283</v>
      </c>
      <c r="G1056" s="25" t="s">
        <v>282</v>
      </c>
      <c r="H1056" s="24">
        <v>0</v>
      </c>
      <c r="I1056" s="25" t="s">
        <v>8</v>
      </c>
      <c r="J1056" s="32" t="s">
        <v>7</v>
      </c>
      <c r="K1056" s="24" t="s">
        <v>9</v>
      </c>
      <c r="L1056" s="25">
        <f t="shared" si="92"/>
        <v>675</v>
      </c>
      <c r="M1056" s="4" t="str">
        <f>IF(Table3[[#This Row],[Afrondingsdatum YB]]="N/A","-",Table3[[#This Row],[Afrondingsdatum YB]]-Table3[[#This Row],[StartDatum]])</f>
        <v>-</v>
      </c>
      <c r="N1056" s="4"/>
      <c r="O1056">
        <f t="shared" si="93"/>
        <v>97</v>
      </c>
      <c r="P1056">
        <f t="shared" si="93"/>
        <v>104</v>
      </c>
      <c r="Q1056">
        <f t="shared" si="93"/>
        <v>109</v>
      </c>
      <c r="R1056">
        <f t="shared" si="93"/>
        <v>97</v>
      </c>
      <c r="S1056">
        <f t="shared" si="93"/>
        <v>100</v>
      </c>
      <c r="T1056">
        <f t="shared" si="93"/>
        <v>46</v>
      </c>
      <c r="U1056">
        <f t="shared" si="93"/>
        <v>122</v>
      </c>
      <c r="V1056">
        <f t="shared" si="93"/>
        <v>97</v>
      </c>
      <c r="W1056" s="5">
        <f t="shared" si="89"/>
        <v>865</v>
      </c>
      <c r="X1056" s="9" t="str">
        <f t="shared" si="90"/>
        <v>h865</v>
      </c>
    </row>
    <row r="1057" spans="1:24" x14ac:dyDescent="0.2">
      <c r="A1057" s="9" t="s">
        <v>425</v>
      </c>
      <c r="B1057" s="9">
        <v>3</v>
      </c>
      <c r="C1057" s="25">
        <v>5</v>
      </c>
      <c r="D1057" s="25"/>
      <c r="E1057" s="23">
        <v>45362</v>
      </c>
      <c r="F1057" s="23" t="s">
        <v>283</v>
      </c>
      <c r="G1057" s="25" t="s">
        <v>284</v>
      </c>
      <c r="H1057" s="24">
        <v>1</v>
      </c>
      <c r="I1057" s="25" t="s">
        <v>208</v>
      </c>
      <c r="J1057" s="32">
        <v>45354</v>
      </c>
      <c r="K1057" s="24">
        <v>0.8</v>
      </c>
      <c r="L1057" s="25">
        <f t="shared" si="92"/>
        <v>656</v>
      </c>
      <c r="M1057" s="4">
        <f>IF(Table3[[#This Row],[Afrondingsdatum YB]]="N/A","-",Table3[[#This Row],[Afrondingsdatum YB]]-Table3[[#This Row],[StartDatum]])</f>
        <v>45354</v>
      </c>
      <c r="N1057" s="4"/>
      <c r="O1057">
        <f t="shared" si="93"/>
        <v>65</v>
      </c>
      <c r="P1057">
        <f t="shared" si="93"/>
        <v>104</v>
      </c>
      <c r="Q1057">
        <f t="shared" si="93"/>
        <v>109</v>
      </c>
      <c r="R1057">
        <f t="shared" si="93"/>
        <v>101</v>
      </c>
      <c r="S1057">
        <f t="shared" si="93"/>
        <v>116</v>
      </c>
      <c r="T1057">
        <f t="shared" si="93"/>
        <v>46</v>
      </c>
      <c r="U1057">
        <f t="shared" si="93"/>
        <v>115</v>
      </c>
      <c r="V1057">
        <f t="shared" si="93"/>
        <v>101</v>
      </c>
      <c r="W1057" s="5">
        <f t="shared" si="89"/>
        <v>847</v>
      </c>
      <c r="X1057" s="9" t="str">
        <f t="shared" si="90"/>
        <v>h847</v>
      </c>
    </row>
    <row r="1058" spans="1:24" x14ac:dyDescent="0.2">
      <c r="A1058" s="9" t="s">
        <v>425</v>
      </c>
      <c r="B1058" s="9">
        <v>3</v>
      </c>
      <c r="C1058" s="25">
        <v>5</v>
      </c>
      <c r="D1058" s="25"/>
      <c r="E1058" s="23">
        <v>45362</v>
      </c>
      <c r="F1058" s="23" t="s">
        <v>283</v>
      </c>
      <c r="G1058" s="25" t="s">
        <v>285</v>
      </c>
      <c r="H1058" s="24">
        <v>0</v>
      </c>
      <c r="I1058" s="25" t="s">
        <v>8</v>
      </c>
      <c r="J1058" s="32" t="s">
        <v>7</v>
      </c>
      <c r="K1058" s="24" t="s">
        <v>9</v>
      </c>
      <c r="L1058" s="25">
        <f t="shared" si="92"/>
        <v>747</v>
      </c>
      <c r="M1058" s="4" t="str">
        <f>IF(Table3[[#This Row],[Afrondingsdatum YB]]="N/A","-",Table3[[#This Row],[Afrondingsdatum YB]]-Table3[[#This Row],[StartDatum]])</f>
        <v>-</v>
      </c>
      <c r="N1058" s="4"/>
      <c r="O1058">
        <f t="shared" si="93"/>
        <v>97</v>
      </c>
      <c r="P1058">
        <f t="shared" si="93"/>
        <v>110</v>
      </c>
      <c r="Q1058">
        <f t="shared" si="93"/>
        <v>97</v>
      </c>
      <c r="R1058">
        <f t="shared" si="93"/>
        <v>115</v>
      </c>
      <c r="S1058">
        <f t="shared" si="93"/>
        <v>116</v>
      </c>
      <c r="T1058">
        <f t="shared" si="93"/>
        <v>97</v>
      </c>
      <c r="U1058">
        <f t="shared" si="93"/>
        <v>115</v>
      </c>
      <c r="V1058">
        <f t="shared" si="93"/>
        <v>105</v>
      </c>
      <c r="W1058" s="5">
        <f t="shared" si="89"/>
        <v>905</v>
      </c>
      <c r="X1058" s="9" t="str">
        <f t="shared" si="90"/>
        <v>n905</v>
      </c>
    </row>
    <row r="1059" spans="1:24" x14ac:dyDescent="0.2">
      <c r="A1059" s="9" t="s">
        <v>425</v>
      </c>
      <c r="B1059" s="9">
        <v>3</v>
      </c>
      <c r="C1059" s="25">
        <v>5</v>
      </c>
      <c r="D1059" s="25"/>
      <c r="E1059" s="23">
        <v>45362</v>
      </c>
      <c r="F1059" s="23" t="s">
        <v>283</v>
      </c>
      <c r="G1059" s="25" t="s">
        <v>286</v>
      </c>
      <c r="H1059" s="24">
        <v>1</v>
      </c>
      <c r="I1059" s="25" t="s">
        <v>238</v>
      </c>
      <c r="J1059" s="32">
        <v>45352</v>
      </c>
      <c r="K1059" s="24">
        <v>0.85</v>
      </c>
      <c r="L1059" s="25">
        <f t="shared" si="92"/>
        <v>645</v>
      </c>
      <c r="M1059" s="4">
        <f>IF(Table3[[#This Row],[Afrondingsdatum YB]]="N/A","-",Table3[[#This Row],[Afrondingsdatum YB]]-Table3[[#This Row],[StartDatum]])</f>
        <v>45352</v>
      </c>
      <c r="N1059" s="4"/>
      <c r="O1059">
        <f t="shared" si="93"/>
        <v>66</v>
      </c>
      <c r="P1059">
        <f t="shared" si="93"/>
        <v>97</v>
      </c>
      <c r="Q1059">
        <f t="shared" si="93"/>
        <v>115</v>
      </c>
      <c r="R1059">
        <f t="shared" si="93"/>
        <v>46</v>
      </c>
      <c r="S1059">
        <f t="shared" si="93"/>
        <v>107</v>
      </c>
      <c r="T1059">
        <f t="shared" si="93"/>
        <v>105</v>
      </c>
      <c r="U1059">
        <f t="shared" si="93"/>
        <v>109</v>
      </c>
      <c r="V1059">
        <f t="shared" si="93"/>
        <v>109</v>
      </c>
      <c r="W1059" s="5">
        <f t="shared" si="89"/>
        <v>901</v>
      </c>
      <c r="X1059" s="9" t="str">
        <f t="shared" si="90"/>
        <v>a901</v>
      </c>
    </row>
    <row r="1060" spans="1:24" x14ac:dyDescent="0.2">
      <c r="A1060" s="9" t="s">
        <v>425</v>
      </c>
      <c r="B1060" s="9">
        <v>3</v>
      </c>
      <c r="C1060" s="25">
        <v>5</v>
      </c>
      <c r="D1060" s="25"/>
      <c r="E1060" s="23">
        <v>45362</v>
      </c>
      <c r="F1060" s="23" t="s">
        <v>280</v>
      </c>
      <c r="G1060" s="25" t="s">
        <v>287</v>
      </c>
      <c r="H1060" s="24">
        <v>0.08</v>
      </c>
      <c r="I1060" s="25" t="s">
        <v>189</v>
      </c>
      <c r="J1060" s="32" t="s">
        <v>7</v>
      </c>
      <c r="K1060" s="24" t="s">
        <v>9</v>
      </c>
      <c r="L1060" s="25">
        <f t="shared" si="92"/>
        <v>666</v>
      </c>
      <c r="M1060" s="4" t="str">
        <f>IF(Table3[[#This Row],[Afrondingsdatum YB]]="N/A","-",Table3[[#This Row],[Afrondingsdatum YB]]-Table3[[#This Row],[StartDatum]])</f>
        <v>-</v>
      </c>
      <c r="N1060" s="4"/>
      <c r="O1060">
        <f t="shared" si="93"/>
        <v>100</v>
      </c>
      <c r="P1060">
        <f t="shared" si="93"/>
        <v>106</v>
      </c>
      <c r="Q1060">
        <f t="shared" si="93"/>
        <v>97</v>
      </c>
      <c r="R1060">
        <f t="shared" si="93"/>
        <v>98</v>
      </c>
      <c r="S1060">
        <f t="shared" si="93"/>
        <v>105</v>
      </c>
      <c r="T1060">
        <f t="shared" si="93"/>
        <v>114</v>
      </c>
      <c r="U1060">
        <f t="shared" si="93"/>
        <v>46</v>
      </c>
      <c r="V1060">
        <f t="shared" si="93"/>
        <v>104</v>
      </c>
      <c r="W1060" s="5">
        <f t="shared" si="89"/>
        <v>838</v>
      </c>
      <c r="X1060" s="9" t="str">
        <f t="shared" si="90"/>
        <v>j838</v>
      </c>
    </row>
    <row r="1061" spans="1:24" x14ac:dyDescent="0.2">
      <c r="A1061" s="9" t="s">
        <v>425</v>
      </c>
      <c r="B1061" s="9">
        <v>3</v>
      </c>
      <c r="C1061" s="25">
        <v>5</v>
      </c>
      <c r="D1061" s="25"/>
      <c r="E1061" s="23">
        <v>45362</v>
      </c>
      <c r="F1061" s="23" t="s">
        <v>280</v>
      </c>
      <c r="G1061" s="25" t="s">
        <v>288</v>
      </c>
      <c r="H1061" s="24">
        <v>0.59</v>
      </c>
      <c r="I1061" s="25" t="s">
        <v>191</v>
      </c>
      <c r="J1061" s="32" t="s">
        <v>7</v>
      </c>
      <c r="K1061" s="24" t="s">
        <v>9</v>
      </c>
      <c r="L1061" s="25">
        <f t="shared" si="92"/>
        <v>682</v>
      </c>
      <c r="M1061" s="4" t="str">
        <f>IF(Table3[[#This Row],[Afrondingsdatum YB]]="N/A","-",Table3[[#This Row],[Afrondingsdatum YB]]-Table3[[#This Row],[StartDatum]])</f>
        <v>-</v>
      </c>
      <c r="N1061" s="4"/>
      <c r="O1061">
        <f t="shared" si="93"/>
        <v>103</v>
      </c>
      <c r="P1061">
        <f t="shared" si="93"/>
        <v>108</v>
      </c>
      <c r="Q1061">
        <f t="shared" si="93"/>
        <v>101</v>
      </c>
      <c r="R1061">
        <f t="shared" si="93"/>
        <v>110</v>
      </c>
      <c r="S1061">
        <f t="shared" si="93"/>
        <v>110</v>
      </c>
      <c r="T1061">
        <f t="shared" si="93"/>
        <v>46</v>
      </c>
      <c r="U1061">
        <f t="shared" si="93"/>
        <v>104</v>
      </c>
      <c r="V1061">
        <f t="shared" si="93"/>
        <v>101</v>
      </c>
      <c r="W1061" s="5">
        <f t="shared" si="89"/>
        <v>849</v>
      </c>
      <c r="X1061" s="9" t="str">
        <f t="shared" si="90"/>
        <v>l849</v>
      </c>
    </row>
    <row r="1062" spans="1:24" x14ac:dyDescent="0.2">
      <c r="A1062" s="9" t="s">
        <v>425</v>
      </c>
      <c r="B1062" s="9">
        <v>3</v>
      </c>
      <c r="C1062" s="25">
        <v>5</v>
      </c>
      <c r="D1062" s="25"/>
      <c r="E1062" s="23">
        <v>45362</v>
      </c>
      <c r="F1062" s="23" t="s">
        <v>283</v>
      </c>
      <c r="G1062" s="25" t="s">
        <v>289</v>
      </c>
      <c r="H1062" s="24">
        <v>0.02</v>
      </c>
      <c r="I1062" s="25" t="s">
        <v>319</v>
      </c>
      <c r="J1062" s="32" t="s">
        <v>7</v>
      </c>
      <c r="K1062" s="24" t="s">
        <v>9</v>
      </c>
      <c r="L1062" s="25">
        <f t="shared" si="92"/>
        <v>675</v>
      </c>
      <c r="M1062" s="4" t="str">
        <f>IF(Table3[[#This Row],[Afrondingsdatum YB]]="N/A","-",Table3[[#This Row],[Afrondingsdatum YB]]-Table3[[#This Row],[StartDatum]])</f>
        <v>-</v>
      </c>
      <c r="N1062" s="4"/>
      <c r="O1062">
        <f t="shared" si="93"/>
        <v>103</v>
      </c>
      <c r="P1062">
        <f t="shared" si="93"/>
        <v>114</v>
      </c>
      <c r="Q1062">
        <f t="shared" si="93"/>
        <v>97</v>
      </c>
      <c r="R1062">
        <f t="shared" si="93"/>
        <v>99</v>
      </c>
      <c r="S1062">
        <f t="shared" si="93"/>
        <v>101</v>
      </c>
      <c r="T1062">
        <f t="shared" si="93"/>
        <v>46</v>
      </c>
      <c r="U1062">
        <f t="shared" si="93"/>
        <v>115</v>
      </c>
      <c r="V1062">
        <f t="shared" si="93"/>
        <v>101</v>
      </c>
      <c r="W1062" s="5">
        <f t="shared" si="89"/>
        <v>839</v>
      </c>
      <c r="X1062" s="9" t="str">
        <f t="shared" si="90"/>
        <v>r839</v>
      </c>
    </row>
    <row r="1063" spans="1:24" x14ac:dyDescent="0.2">
      <c r="A1063" s="9" t="s">
        <v>425</v>
      </c>
      <c r="B1063" s="9">
        <v>3</v>
      </c>
      <c r="C1063" s="25">
        <v>5</v>
      </c>
      <c r="D1063" s="25"/>
      <c r="E1063" s="23">
        <v>45362</v>
      </c>
      <c r="F1063" s="23" t="s">
        <v>283</v>
      </c>
      <c r="G1063" s="25" t="s">
        <v>290</v>
      </c>
      <c r="H1063" s="24">
        <v>1</v>
      </c>
      <c r="I1063" s="25" t="s">
        <v>214</v>
      </c>
      <c r="J1063" s="32">
        <v>45358</v>
      </c>
      <c r="K1063" s="24">
        <v>0.78</v>
      </c>
      <c r="L1063" s="25">
        <f t="shared" si="92"/>
        <v>677</v>
      </c>
      <c r="M1063" s="4">
        <f>IF(Table3[[#This Row],[Afrondingsdatum YB]]="N/A","-",Table3[[#This Row],[Afrondingsdatum YB]]-Table3[[#This Row],[StartDatum]])</f>
        <v>45358</v>
      </c>
      <c r="N1063" s="4"/>
      <c r="O1063">
        <f t="shared" si="93"/>
        <v>105</v>
      </c>
      <c r="P1063">
        <f t="shared" si="93"/>
        <v>108</v>
      </c>
      <c r="Q1063">
        <f t="shared" si="93"/>
        <v>105</v>
      </c>
      <c r="R1063">
        <f t="shared" si="93"/>
        <v>97</v>
      </c>
      <c r="S1063">
        <f t="shared" si="93"/>
        <v>115</v>
      </c>
      <c r="T1063">
        <f t="shared" si="93"/>
        <v>46</v>
      </c>
      <c r="U1063">
        <f t="shared" si="93"/>
        <v>101</v>
      </c>
      <c r="V1063">
        <f t="shared" si="93"/>
        <v>108</v>
      </c>
      <c r="W1063" s="5">
        <f t="shared" ref="W1063:W1126" si="94">ROUND((O1063*O$1+P1063/P$1+Q1063*Q$1+R1063/R$1)+SUM(S1063:V1063),0)</f>
        <v>868</v>
      </c>
      <c r="X1063" s="9" t="str">
        <f t="shared" ref="X1063:X1126" si="95">MID(G1063,2,1)&amp;TEXT(W1063,"###")</f>
        <v>l868</v>
      </c>
    </row>
    <row r="1064" spans="1:24" x14ac:dyDescent="0.2">
      <c r="A1064" s="9" t="s">
        <v>425</v>
      </c>
      <c r="B1064" s="9">
        <v>3</v>
      </c>
      <c r="C1064" s="25">
        <v>5</v>
      </c>
      <c r="D1064" s="25"/>
      <c r="E1064" s="23">
        <v>45362</v>
      </c>
      <c r="F1064" s="23" t="s">
        <v>283</v>
      </c>
      <c r="G1064" s="25" t="s">
        <v>291</v>
      </c>
      <c r="H1064" s="24">
        <v>0</v>
      </c>
      <c r="I1064" s="25" t="s">
        <v>8</v>
      </c>
      <c r="J1064" s="32" t="s">
        <v>7</v>
      </c>
      <c r="K1064" s="24" t="s">
        <v>9</v>
      </c>
      <c r="L1064" s="25">
        <f t="shared" si="92"/>
        <v>638</v>
      </c>
      <c r="M1064" s="4" t="str">
        <f>IF(Table3[[#This Row],[Afrondingsdatum YB]]="N/A","-",Table3[[#This Row],[Afrondingsdatum YB]]-Table3[[#This Row],[StartDatum]])</f>
        <v>-</v>
      </c>
      <c r="N1064" s="4"/>
      <c r="O1064">
        <f t="shared" si="93"/>
        <v>73</v>
      </c>
      <c r="P1064">
        <f t="shared" si="93"/>
        <v>115</v>
      </c>
      <c r="Q1064">
        <f t="shared" si="93"/>
        <v>97</v>
      </c>
      <c r="R1064">
        <f t="shared" si="93"/>
        <v>98</v>
      </c>
      <c r="S1064">
        <f t="shared" si="93"/>
        <v>101</v>
      </c>
      <c r="T1064">
        <f t="shared" si="93"/>
        <v>108</v>
      </c>
      <c r="U1064">
        <f t="shared" si="93"/>
        <v>46</v>
      </c>
      <c r="V1064">
        <f t="shared" si="93"/>
        <v>109</v>
      </c>
      <c r="W1064" s="5">
        <f t="shared" si="94"/>
        <v>810</v>
      </c>
      <c r="X1064" s="9" t="str">
        <f t="shared" si="95"/>
        <v>s810</v>
      </c>
    </row>
    <row r="1065" spans="1:24" x14ac:dyDescent="0.2">
      <c r="A1065" s="9" t="s">
        <v>425</v>
      </c>
      <c r="B1065" s="9">
        <v>3</v>
      </c>
      <c r="C1065" s="25">
        <v>5</v>
      </c>
      <c r="D1065" s="25"/>
      <c r="E1065" s="23">
        <v>45362</v>
      </c>
      <c r="F1065" s="23" t="s">
        <v>280</v>
      </c>
      <c r="G1065" s="25" t="s">
        <v>292</v>
      </c>
      <c r="H1065" s="24">
        <v>0</v>
      </c>
      <c r="I1065" s="25" t="s">
        <v>249</v>
      </c>
      <c r="J1065" s="32" t="s">
        <v>7</v>
      </c>
      <c r="K1065" s="24" t="s">
        <v>9</v>
      </c>
      <c r="L1065" s="25">
        <f t="shared" si="92"/>
        <v>673</v>
      </c>
      <c r="M1065" s="4" t="str">
        <f>IF(Table3[[#This Row],[Afrondingsdatum YB]]="N/A","-",Table3[[#This Row],[Afrondingsdatum YB]]-Table3[[#This Row],[StartDatum]])</f>
        <v>-</v>
      </c>
      <c r="N1065" s="4"/>
      <c r="O1065">
        <f t="shared" si="93"/>
        <v>106</v>
      </c>
      <c r="P1065">
        <f t="shared" si="93"/>
        <v>97</v>
      </c>
      <c r="Q1065">
        <f t="shared" si="93"/>
        <v>105</v>
      </c>
      <c r="R1065">
        <f t="shared" si="93"/>
        <v>114</v>
      </c>
      <c r="S1065">
        <f t="shared" si="93"/>
        <v>46</v>
      </c>
      <c r="T1065">
        <f t="shared" si="93"/>
        <v>104</v>
      </c>
      <c r="U1065">
        <f t="shared" si="93"/>
        <v>101</v>
      </c>
      <c r="V1065">
        <f t="shared" si="93"/>
        <v>107</v>
      </c>
      <c r="W1065" s="5">
        <f t="shared" si="94"/>
        <v>856</v>
      </c>
      <c r="X1065" s="9" t="str">
        <f t="shared" si="95"/>
        <v>a856</v>
      </c>
    </row>
    <row r="1066" spans="1:24" x14ac:dyDescent="0.2">
      <c r="A1066" s="9" t="s">
        <v>425</v>
      </c>
      <c r="B1066" s="9">
        <v>3</v>
      </c>
      <c r="C1066" s="25">
        <v>5</v>
      </c>
      <c r="D1066" s="25"/>
      <c r="E1066" s="23">
        <v>45362</v>
      </c>
      <c r="F1066" s="23" t="s">
        <v>283</v>
      </c>
      <c r="G1066" s="25" t="s">
        <v>293</v>
      </c>
      <c r="H1066" s="24">
        <v>0</v>
      </c>
      <c r="I1066" s="25" t="s">
        <v>8</v>
      </c>
      <c r="J1066" s="32" t="s">
        <v>7</v>
      </c>
      <c r="K1066" s="24" t="s">
        <v>9</v>
      </c>
      <c r="L1066" s="25">
        <f t="shared" si="92"/>
        <v>692</v>
      </c>
      <c r="M1066" s="4" t="str">
        <f>IF(Table3[[#This Row],[Afrondingsdatum YB]]="N/A","-",Table3[[#This Row],[Afrondingsdatum YB]]-Table3[[#This Row],[StartDatum]])</f>
        <v>-</v>
      </c>
      <c r="N1066" s="4"/>
      <c r="O1066">
        <f t="shared" si="93"/>
        <v>106</v>
      </c>
      <c r="P1066">
        <f t="shared" si="93"/>
        <v>101</v>
      </c>
      <c r="Q1066">
        <f t="shared" si="93"/>
        <v>115</v>
      </c>
      <c r="R1066">
        <f t="shared" si="93"/>
        <v>115</v>
      </c>
      <c r="S1066">
        <f t="shared" si="93"/>
        <v>101</v>
      </c>
      <c r="T1066">
        <f t="shared" si="93"/>
        <v>46</v>
      </c>
      <c r="U1066">
        <f t="shared" si="93"/>
        <v>108</v>
      </c>
      <c r="V1066">
        <f t="shared" si="93"/>
        <v>101</v>
      </c>
      <c r="W1066" s="5">
        <f t="shared" si="94"/>
        <v>886</v>
      </c>
      <c r="X1066" s="9" t="str">
        <f t="shared" si="95"/>
        <v>e886</v>
      </c>
    </row>
    <row r="1067" spans="1:24" x14ac:dyDescent="0.2">
      <c r="A1067" s="9" t="s">
        <v>425</v>
      </c>
      <c r="B1067" s="9">
        <v>3</v>
      </c>
      <c r="C1067" s="25">
        <v>5</v>
      </c>
      <c r="D1067" s="25"/>
      <c r="E1067" s="23">
        <v>45362</v>
      </c>
      <c r="F1067" s="23" t="s">
        <v>283</v>
      </c>
      <c r="G1067" s="25" t="s">
        <v>294</v>
      </c>
      <c r="H1067" s="24">
        <v>0</v>
      </c>
      <c r="I1067" s="25" t="s">
        <v>8</v>
      </c>
      <c r="J1067" s="32" t="s">
        <v>7</v>
      </c>
      <c r="K1067" s="24" t="s">
        <v>9</v>
      </c>
      <c r="L1067" s="25">
        <f t="shared" si="92"/>
        <v>681</v>
      </c>
      <c r="M1067" s="4" t="str">
        <f>IF(Table3[[#This Row],[Afrondingsdatum YB]]="N/A","-",Table3[[#This Row],[Afrondingsdatum YB]]-Table3[[#This Row],[StartDatum]])</f>
        <v>-</v>
      </c>
      <c r="N1067" s="4"/>
      <c r="O1067">
        <f t="shared" si="93"/>
        <v>106</v>
      </c>
      <c r="P1067">
        <f t="shared" si="93"/>
        <v>111</v>
      </c>
      <c r="Q1067">
        <f t="shared" si="93"/>
        <v>114</v>
      </c>
      <c r="R1067">
        <f t="shared" si="93"/>
        <v>100</v>
      </c>
      <c r="S1067">
        <f t="shared" si="93"/>
        <v>46</v>
      </c>
      <c r="T1067">
        <f t="shared" si="93"/>
        <v>107</v>
      </c>
      <c r="U1067">
        <f t="shared" si="93"/>
        <v>97</v>
      </c>
      <c r="V1067">
        <f t="shared" si="93"/>
        <v>114</v>
      </c>
      <c r="W1067" s="5">
        <f t="shared" si="94"/>
        <v>893</v>
      </c>
      <c r="X1067" s="9" t="str">
        <f t="shared" si="95"/>
        <v>o893</v>
      </c>
    </row>
    <row r="1068" spans="1:24" x14ac:dyDescent="0.2">
      <c r="A1068" s="9" t="s">
        <v>425</v>
      </c>
      <c r="B1068" s="9">
        <v>3</v>
      </c>
      <c r="C1068" s="25">
        <v>5</v>
      </c>
      <c r="D1068" s="25"/>
      <c r="E1068" s="23">
        <v>45362</v>
      </c>
      <c r="F1068" s="23" t="s">
        <v>280</v>
      </c>
      <c r="G1068" s="25" t="s">
        <v>295</v>
      </c>
      <c r="H1068" s="24">
        <v>0.45</v>
      </c>
      <c r="I1068" s="25" t="s">
        <v>320</v>
      </c>
      <c r="J1068" s="32" t="s">
        <v>7</v>
      </c>
      <c r="K1068" s="24" t="s">
        <v>9</v>
      </c>
      <c r="L1068" s="25">
        <f t="shared" ref="L1068:L1131" si="96">SUM(O1068:U1068)</f>
        <v>691</v>
      </c>
      <c r="M1068" s="4" t="str">
        <f>IF(Table3[[#This Row],[Afrondingsdatum YB]]="N/A","-",Table3[[#This Row],[Afrondingsdatum YB]]-Table3[[#This Row],[StartDatum]])</f>
        <v>-</v>
      </c>
      <c r="N1068" s="4"/>
      <c r="O1068">
        <f t="shared" si="93"/>
        <v>106</v>
      </c>
      <c r="P1068">
        <f t="shared" si="93"/>
        <v>111</v>
      </c>
      <c r="Q1068">
        <f t="shared" si="93"/>
        <v>121</v>
      </c>
      <c r="R1068">
        <f t="shared" si="93"/>
        <v>99</v>
      </c>
      <c r="S1068">
        <f t="shared" si="93"/>
        <v>101</v>
      </c>
      <c r="T1068">
        <f t="shared" si="93"/>
        <v>46</v>
      </c>
      <c r="U1068">
        <f t="shared" si="93"/>
        <v>107</v>
      </c>
      <c r="V1068">
        <f t="shared" si="93"/>
        <v>111</v>
      </c>
      <c r="W1068" s="5">
        <f t="shared" si="94"/>
        <v>914</v>
      </c>
      <c r="X1068" s="9" t="str">
        <f t="shared" si="95"/>
        <v>o914</v>
      </c>
    </row>
    <row r="1069" spans="1:24" x14ac:dyDescent="0.2">
      <c r="A1069" s="9" t="s">
        <v>425</v>
      </c>
      <c r="B1069" s="9">
        <v>3</v>
      </c>
      <c r="C1069" s="25">
        <v>5</v>
      </c>
      <c r="D1069" s="25"/>
      <c r="E1069" s="23">
        <v>45362</v>
      </c>
      <c r="F1069" s="23" t="s">
        <v>283</v>
      </c>
      <c r="G1069" s="25" t="s">
        <v>296</v>
      </c>
      <c r="H1069" s="24">
        <v>0</v>
      </c>
      <c r="I1069" s="25" t="s">
        <v>8</v>
      </c>
      <c r="J1069" s="32" t="s">
        <v>7</v>
      </c>
      <c r="K1069" s="24" t="s">
        <v>9</v>
      </c>
      <c r="L1069" s="9">
        <f t="shared" si="96"/>
        <v>689</v>
      </c>
      <c r="M1069" s="4" t="str">
        <f>IF(Table3[[#This Row],[Afrondingsdatum YB]]="N/A","-",Table3[[#This Row],[Afrondingsdatum YB]]-Table3[[#This Row],[StartDatum]])</f>
        <v>-</v>
      </c>
      <c r="N1069" s="4"/>
      <c r="O1069">
        <f t="shared" si="93"/>
        <v>106</v>
      </c>
      <c r="P1069">
        <f t="shared" si="93"/>
        <v>117</v>
      </c>
      <c r="Q1069">
        <f t="shared" si="93"/>
        <v>108</v>
      </c>
      <c r="R1069">
        <f t="shared" si="93"/>
        <v>105</v>
      </c>
      <c r="S1069">
        <f t="shared" si="93"/>
        <v>97</v>
      </c>
      <c r="T1069">
        <f t="shared" si="93"/>
        <v>110</v>
      </c>
      <c r="U1069">
        <f t="shared" si="93"/>
        <v>46</v>
      </c>
      <c r="V1069">
        <f t="shared" si="93"/>
        <v>109</v>
      </c>
      <c r="W1069" s="5">
        <f t="shared" si="94"/>
        <v>877</v>
      </c>
      <c r="X1069" s="9" t="str">
        <f t="shared" si="95"/>
        <v>u877</v>
      </c>
    </row>
    <row r="1070" spans="1:24" x14ac:dyDescent="0.2">
      <c r="A1070" s="9" t="s">
        <v>425</v>
      </c>
      <c r="B1070" s="9">
        <v>3</v>
      </c>
      <c r="C1070" s="25">
        <v>5</v>
      </c>
      <c r="D1070" s="25"/>
      <c r="E1070" s="23">
        <v>45362</v>
      </c>
      <c r="F1070" s="23" t="s">
        <v>283</v>
      </c>
      <c r="G1070" s="25" t="s">
        <v>297</v>
      </c>
      <c r="H1070" s="24">
        <v>0.05</v>
      </c>
      <c r="I1070" s="25" t="s">
        <v>130</v>
      </c>
      <c r="J1070" s="32" t="s">
        <v>7</v>
      </c>
      <c r="K1070" s="24" t="s">
        <v>9</v>
      </c>
      <c r="L1070" s="9">
        <f t="shared" si="96"/>
        <v>698</v>
      </c>
      <c r="M1070" s="4" t="str">
        <f>IF(Table3[[#This Row],[Afrondingsdatum YB]]="N/A","-",Table3[[#This Row],[Afrondingsdatum YB]]-Table3[[#This Row],[StartDatum]])</f>
        <v>-</v>
      </c>
      <c r="N1070" s="4"/>
      <c r="O1070">
        <f t="shared" si="93"/>
        <v>106</v>
      </c>
      <c r="P1070">
        <f t="shared" si="93"/>
        <v>117</v>
      </c>
      <c r="Q1070">
        <f t="shared" si="93"/>
        <v>114</v>
      </c>
      <c r="R1070">
        <f t="shared" si="93"/>
        <v>114</v>
      </c>
      <c r="S1070">
        <f t="shared" si="93"/>
        <v>101</v>
      </c>
      <c r="T1070">
        <f t="shared" si="93"/>
        <v>46</v>
      </c>
      <c r="U1070">
        <f t="shared" si="93"/>
        <v>100</v>
      </c>
      <c r="V1070">
        <f t="shared" si="93"/>
        <v>101</v>
      </c>
      <c r="W1070" s="5">
        <f t="shared" si="94"/>
        <v>883</v>
      </c>
      <c r="X1070" s="9" t="str">
        <f t="shared" si="95"/>
        <v>u883</v>
      </c>
    </row>
    <row r="1071" spans="1:24" x14ac:dyDescent="0.2">
      <c r="A1071" s="9" t="s">
        <v>425</v>
      </c>
      <c r="B1071" s="9">
        <v>3</v>
      </c>
      <c r="C1071" s="25">
        <v>5</v>
      </c>
      <c r="D1071" s="25"/>
      <c r="E1071" s="23">
        <v>45362</v>
      </c>
      <c r="F1071" s="23" t="s">
        <v>280</v>
      </c>
      <c r="G1071" s="25" t="s">
        <v>298</v>
      </c>
      <c r="H1071" s="24">
        <v>0</v>
      </c>
      <c r="I1071" s="25" t="s">
        <v>299</v>
      </c>
      <c r="J1071" s="32" t="s">
        <v>7</v>
      </c>
      <c r="K1071" s="24" t="s">
        <v>9</v>
      </c>
      <c r="L1071" s="9">
        <f t="shared" si="96"/>
        <v>685</v>
      </c>
      <c r="M1071" s="4" t="str">
        <f>IF(Table3[[#This Row],[Afrondingsdatum YB]]="N/A","-",Table3[[#This Row],[Afrondingsdatum YB]]-Table3[[#This Row],[StartDatum]])</f>
        <v>-</v>
      </c>
      <c r="N1071" s="4"/>
      <c r="O1071">
        <f t="shared" si="93"/>
        <v>75</v>
      </c>
      <c r="P1071">
        <f t="shared" si="93"/>
        <v>121</v>
      </c>
      <c r="Q1071">
        <f t="shared" si="93"/>
        <v>114</v>
      </c>
      <c r="R1071">
        <f t="shared" si="93"/>
        <v>111</v>
      </c>
      <c r="S1071">
        <f t="shared" si="93"/>
        <v>110</v>
      </c>
      <c r="T1071">
        <f t="shared" si="93"/>
        <v>46</v>
      </c>
      <c r="U1071">
        <f t="shared" si="93"/>
        <v>108</v>
      </c>
      <c r="V1071">
        <f t="shared" ref="V1071:V1074" si="97">CODE(MID($G1071,V$1,1))</f>
        <v>101</v>
      </c>
      <c r="W1071" s="5">
        <f t="shared" si="94"/>
        <v>870</v>
      </c>
      <c r="X1071" s="9" t="str">
        <f t="shared" si="95"/>
        <v>y870</v>
      </c>
    </row>
    <row r="1072" spans="1:24" x14ac:dyDescent="0.2">
      <c r="A1072" s="9" t="s">
        <v>425</v>
      </c>
      <c r="B1072" s="9">
        <v>3</v>
      </c>
      <c r="C1072" s="25">
        <v>5</v>
      </c>
      <c r="D1072" s="25"/>
      <c r="E1072" s="23">
        <v>45362</v>
      </c>
      <c r="F1072" s="23" t="s">
        <v>280</v>
      </c>
      <c r="G1072" s="25" t="s">
        <v>300</v>
      </c>
      <c r="H1072" s="24">
        <v>0</v>
      </c>
      <c r="I1072" s="25" t="s">
        <v>8</v>
      </c>
      <c r="J1072" s="32" t="s">
        <v>7</v>
      </c>
      <c r="K1072" s="24" t="s">
        <v>9</v>
      </c>
      <c r="L1072" s="9">
        <f t="shared" si="96"/>
        <v>761</v>
      </c>
      <c r="M1072" s="4" t="str">
        <f>IF(Table3[[#This Row],[Afrondingsdatum YB]]="N/A","-",Table3[[#This Row],[Afrondingsdatum YB]]-Table3[[#This Row],[StartDatum]])</f>
        <v>-</v>
      </c>
      <c r="N1072" s="4"/>
      <c r="O1072">
        <f t="shared" ref="O1072:V1104" si="98">CODE(MID($G1072,O$1,1))</f>
        <v>108</v>
      </c>
      <c r="P1072">
        <f t="shared" si="98"/>
        <v>117</v>
      </c>
      <c r="Q1072">
        <f t="shared" si="98"/>
        <v>99</v>
      </c>
      <c r="R1072">
        <f t="shared" si="98"/>
        <v>105</v>
      </c>
      <c r="S1072">
        <f t="shared" si="98"/>
        <v>97</v>
      </c>
      <c r="T1072">
        <f t="shared" si="98"/>
        <v>121</v>
      </c>
      <c r="U1072">
        <f t="shared" si="98"/>
        <v>114</v>
      </c>
      <c r="V1072">
        <f t="shared" si="97"/>
        <v>111</v>
      </c>
      <c r="W1072" s="5">
        <f t="shared" si="94"/>
        <v>933</v>
      </c>
      <c r="X1072" s="9" t="str">
        <f t="shared" si="95"/>
        <v>u933</v>
      </c>
    </row>
    <row r="1073" spans="1:24" x14ac:dyDescent="0.2">
      <c r="A1073" s="9" t="s">
        <v>425</v>
      </c>
      <c r="B1073" s="9">
        <v>3</v>
      </c>
      <c r="C1073" s="25">
        <v>5</v>
      </c>
      <c r="D1073" s="25"/>
      <c r="E1073" s="23">
        <v>45362</v>
      </c>
      <c r="F1073" s="23" t="s">
        <v>283</v>
      </c>
      <c r="G1073" s="25" t="s">
        <v>301</v>
      </c>
      <c r="H1073" s="24">
        <v>0</v>
      </c>
      <c r="I1073" s="25" t="s">
        <v>8</v>
      </c>
      <c r="J1073" s="32" t="s">
        <v>7</v>
      </c>
      <c r="K1073" s="24" t="s">
        <v>9</v>
      </c>
      <c r="L1073" s="9">
        <f t="shared" si="96"/>
        <v>762</v>
      </c>
      <c r="M1073" s="4" t="str">
        <f>IF(Table3[[#This Row],[Afrondingsdatum YB]]="N/A","-",Table3[[#This Row],[Afrondingsdatum YB]]-Table3[[#This Row],[StartDatum]])</f>
        <v>-</v>
      </c>
      <c r="N1073" s="4"/>
      <c r="O1073">
        <f t="shared" si="98"/>
        <v>108</v>
      </c>
      <c r="P1073">
        <f t="shared" si="98"/>
        <v>121</v>
      </c>
      <c r="Q1073">
        <f t="shared" si="98"/>
        <v>115</v>
      </c>
      <c r="R1073">
        <f t="shared" si="98"/>
        <v>97</v>
      </c>
      <c r="S1073">
        <f t="shared" si="98"/>
        <v>110</v>
      </c>
      <c r="T1073">
        <f t="shared" si="98"/>
        <v>110</v>
      </c>
      <c r="U1073">
        <f t="shared" si="98"/>
        <v>101</v>
      </c>
      <c r="V1073">
        <f t="shared" si="97"/>
        <v>46</v>
      </c>
      <c r="W1073" s="5">
        <f t="shared" si="94"/>
        <v>905</v>
      </c>
      <c r="X1073" s="9" t="str">
        <f t="shared" si="95"/>
        <v>y905</v>
      </c>
    </row>
    <row r="1074" spans="1:24" x14ac:dyDescent="0.2">
      <c r="A1074" s="9" t="s">
        <v>425</v>
      </c>
      <c r="B1074" s="9">
        <v>3</v>
      </c>
      <c r="C1074" s="25">
        <v>5</v>
      </c>
      <c r="D1074" s="25"/>
      <c r="E1074" s="23">
        <v>45362</v>
      </c>
      <c r="F1074" s="23" t="s">
        <v>283</v>
      </c>
      <c r="G1074" s="25" t="s">
        <v>302</v>
      </c>
      <c r="H1074" s="24">
        <v>1</v>
      </c>
      <c r="I1074" s="25" t="s">
        <v>207</v>
      </c>
      <c r="J1074" s="32">
        <v>45348</v>
      </c>
      <c r="K1074" s="24">
        <v>0.95</v>
      </c>
      <c r="L1074" s="9">
        <f t="shared" si="96"/>
        <v>697</v>
      </c>
      <c r="M1074" s="4">
        <f>IF(Table3[[#This Row],[Afrondingsdatum YB]]="N/A","-",Table3[[#This Row],[Afrondingsdatum YB]]-Table3[[#This Row],[StartDatum]])</f>
        <v>45348</v>
      </c>
      <c r="N1074" s="4"/>
      <c r="O1074">
        <f t="shared" si="98"/>
        <v>109</v>
      </c>
      <c r="P1074">
        <f t="shared" si="98"/>
        <v>101</v>
      </c>
      <c r="Q1074">
        <f t="shared" si="98"/>
        <v>108</v>
      </c>
      <c r="R1074">
        <f t="shared" si="98"/>
        <v>118</v>
      </c>
      <c r="S1074">
        <f t="shared" si="98"/>
        <v>105</v>
      </c>
      <c r="T1074">
        <f t="shared" si="98"/>
        <v>110</v>
      </c>
      <c r="U1074">
        <f t="shared" si="98"/>
        <v>46</v>
      </c>
      <c r="V1074">
        <f t="shared" si="97"/>
        <v>98</v>
      </c>
      <c r="W1074" s="5">
        <f t="shared" si="94"/>
        <v>872</v>
      </c>
      <c r="X1074" s="9" t="str">
        <f t="shared" si="95"/>
        <v>e872</v>
      </c>
    </row>
    <row r="1075" spans="1:24" x14ac:dyDescent="0.2">
      <c r="A1075" s="9" t="s">
        <v>425</v>
      </c>
      <c r="B1075" s="9">
        <v>3</v>
      </c>
      <c r="C1075" s="25">
        <v>5</v>
      </c>
      <c r="D1075" s="25"/>
      <c r="E1075" s="23">
        <v>45362</v>
      </c>
      <c r="F1075" s="23" t="s">
        <v>283</v>
      </c>
      <c r="G1075" s="25" t="s">
        <v>303</v>
      </c>
      <c r="H1075" s="24">
        <v>0.15</v>
      </c>
      <c r="I1075" s="25" t="s">
        <v>160</v>
      </c>
      <c r="J1075" s="32" t="s">
        <v>7</v>
      </c>
      <c r="K1075" s="24" t="s">
        <v>9</v>
      </c>
      <c r="L1075" s="9">
        <f t="shared" si="96"/>
        <v>691</v>
      </c>
      <c r="M1075" s="4" t="str">
        <f>IF(Table3[[#This Row],[Afrondingsdatum YB]]="N/A","-",Table3[[#This Row],[Afrondingsdatum YB]]-Table3[[#This Row],[StartDatum]])</f>
        <v>-</v>
      </c>
      <c r="N1075" s="4"/>
      <c r="O1075">
        <f t="shared" si="98"/>
        <v>109</v>
      </c>
      <c r="P1075">
        <f t="shared" si="98"/>
        <v>111</v>
      </c>
      <c r="Q1075">
        <f t="shared" si="98"/>
        <v>104</v>
      </c>
      <c r="R1075">
        <f t="shared" si="98"/>
        <v>105</v>
      </c>
      <c r="S1075">
        <f t="shared" si="98"/>
        <v>116</v>
      </c>
      <c r="T1075">
        <f t="shared" si="98"/>
        <v>46</v>
      </c>
      <c r="U1075">
        <f t="shared" si="98"/>
        <v>100</v>
      </c>
      <c r="V1075">
        <f t="shared" si="98"/>
        <v>97</v>
      </c>
      <c r="W1075" s="5">
        <f t="shared" si="94"/>
        <v>862</v>
      </c>
      <c r="X1075" s="9" t="str">
        <f t="shared" si="95"/>
        <v>o862</v>
      </c>
    </row>
    <row r="1076" spans="1:24" x14ac:dyDescent="0.2">
      <c r="A1076" s="9" t="s">
        <v>425</v>
      </c>
      <c r="B1076" s="9">
        <v>3</v>
      </c>
      <c r="C1076" s="25">
        <v>5</v>
      </c>
      <c r="D1076" s="25"/>
      <c r="E1076" s="23">
        <v>45362</v>
      </c>
      <c r="F1076" s="23" t="s">
        <v>280</v>
      </c>
      <c r="G1076" s="25" t="s">
        <v>304</v>
      </c>
      <c r="H1076" s="24">
        <v>0.01</v>
      </c>
      <c r="I1076" s="25" t="s">
        <v>266</v>
      </c>
      <c r="J1076" s="32" t="s">
        <v>7</v>
      </c>
      <c r="K1076" s="24" t="s">
        <v>9</v>
      </c>
      <c r="L1076" s="9">
        <f t="shared" si="96"/>
        <v>706</v>
      </c>
      <c r="M1076" s="4" t="str">
        <f>IF(Table3[[#This Row],[Afrondingsdatum YB]]="N/A","-",Table3[[#This Row],[Afrondingsdatum YB]]-Table3[[#This Row],[StartDatum]])</f>
        <v>-</v>
      </c>
      <c r="N1076" s="4"/>
      <c r="O1076">
        <f t="shared" si="98"/>
        <v>109</v>
      </c>
      <c r="P1076">
        <f t="shared" si="98"/>
        <v>111</v>
      </c>
      <c r="Q1076">
        <f t="shared" si="98"/>
        <v>108</v>
      </c>
      <c r="R1076">
        <f t="shared" si="98"/>
        <v>105</v>
      </c>
      <c r="S1076">
        <f t="shared" si="98"/>
        <v>116</v>
      </c>
      <c r="T1076">
        <f t="shared" si="98"/>
        <v>111</v>
      </c>
      <c r="U1076">
        <f t="shared" si="98"/>
        <v>46</v>
      </c>
      <c r="V1076">
        <f t="shared" si="98"/>
        <v>102</v>
      </c>
      <c r="W1076" s="5">
        <f t="shared" si="94"/>
        <v>890</v>
      </c>
      <c r="X1076" s="9" t="str">
        <f t="shared" si="95"/>
        <v>o890</v>
      </c>
    </row>
    <row r="1077" spans="1:24" x14ac:dyDescent="0.2">
      <c r="A1077" s="9" t="s">
        <v>425</v>
      </c>
      <c r="B1077" s="9">
        <v>3</v>
      </c>
      <c r="C1077" s="25">
        <v>5</v>
      </c>
      <c r="D1077" s="25"/>
      <c r="E1077" s="23">
        <v>45362</v>
      </c>
      <c r="F1077" s="23" t="s">
        <v>283</v>
      </c>
      <c r="G1077" s="25" t="s">
        <v>305</v>
      </c>
      <c r="H1077" s="24">
        <v>0</v>
      </c>
      <c r="I1077" s="25" t="s">
        <v>8</v>
      </c>
      <c r="J1077" s="32" t="s">
        <v>7</v>
      </c>
      <c r="K1077" s="24" t="s">
        <v>9</v>
      </c>
      <c r="L1077" s="9">
        <f t="shared" si="96"/>
        <v>726</v>
      </c>
      <c r="M1077" s="4" t="str">
        <f>IF(Table3[[#This Row],[Afrondingsdatum YB]]="N/A","-",Table3[[#This Row],[Afrondingsdatum YB]]-Table3[[#This Row],[StartDatum]])</f>
        <v>-</v>
      </c>
      <c r="N1077" s="4"/>
      <c r="O1077">
        <f t="shared" si="98"/>
        <v>77</v>
      </c>
      <c r="P1077">
        <f t="shared" si="98"/>
        <v>117</v>
      </c>
      <c r="Q1077">
        <f t="shared" si="98"/>
        <v>100</v>
      </c>
      <c r="R1077">
        <f t="shared" si="98"/>
        <v>97</v>
      </c>
      <c r="S1077">
        <f t="shared" si="98"/>
        <v>115</v>
      </c>
      <c r="T1077">
        <f t="shared" si="98"/>
        <v>115</v>
      </c>
      <c r="U1077">
        <f t="shared" si="98"/>
        <v>105</v>
      </c>
      <c r="V1077">
        <f t="shared" si="98"/>
        <v>114</v>
      </c>
      <c r="W1077" s="5">
        <f t="shared" si="94"/>
        <v>909</v>
      </c>
      <c r="X1077" s="9" t="str">
        <f t="shared" si="95"/>
        <v>u909</v>
      </c>
    </row>
    <row r="1078" spans="1:24" x14ac:dyDescent="0.2">
      <c r="A1078" s="9" t="s">
        <v>425</v>
      </c>
      <c r="B1078" s="9">
        <v>3</v>
      </c>
      <c r="C1078" s="25">
        <v>5</v>
      </c>
      <c r="D1078" s="25"/>
      <c r="E1078" s="23">
        <v>45362</v>
      </c>
      <c r="F1078" s="23" t="s">
        <v>280</v>
      </c>
      <c r="G1078" s="25" t="s">
        <v>306</v>
      </c>
      <c r="H1078" s="24">
        <v>0.08</v>
      </c>
      <c r="I1078" s="25" t="s">
        <v>321</v>
      </c>
      <c r="J1078" s="32" t="s">
        <v>7</v>
      </c>
      <c r="K1078" s="24" t="s">
        <v>9</v>
      </c>
      <c r="L1078" s="9">
        <f t="shared" si="96"/>
        <v>684</v>
      </c>
      <c r="M1078" s="4" t="str">
        <f>IF(Table3[[#This Row],[Afrondingsdatum YB]]="N/A","-",Table3[[#This Row],[Afrondingsdatum YB]]-Table3[[#This Row],[StartDatum]])</f>
        <v>-</v>
      </c>
      <c r="N1078" s="4"/>
      <c r="O1078">
        <f t="shared" si="98"/>
        <v>110</v>
      </c>
      <c r="P1078">
        <f t="shared" si="98"/>
        <v>97</v>
      </c>
      <c r="Q1078">
        <f t="shared" si="98"/>
        <v>114</v>
      </c>
      <c r="R1078">
        <f t="shared" si="98"/>
        <v>101</v>
      </c>
      <c r="S1078">
        <f t="shared" si="98"/>
        <v>107</v>
      </c>
      <c r="T1078">
        <f t="shared" si="98"/>
        <v>46</v>
      </c>
      <c r="U1078">
        <f t="shared" si="98"/>
        <v>109</v>
      </c>
      <c r="V1078">
        <f t="shared" si="98"/>
        <v>97</v>
      </c>
      <c r="W1078" s="5">
        <f t="shared" si="94"/>
        <v>885</v>
      </c>
      <c r="X1078" s="9" t="str">
        <f t="shared" si="95"/>
        <v>a885</v>
      </c>
    </row>
    <row r="1079" spans="1:24" x14ac:dyDescent="0.2">
      <c r="A1079" s="9" t="s">
        <v>425</v>
      </c>
      <c r="B1079" s="9">
        <v>3</v>
      </c>
      <c r="C1079" s="25">
        <v>5</v>
      </c>
      <c r="D1079" s="25"/>
      <c r="E1079" s="23">
        <v>45362</v>
      </c>
      <c r="F1079" s="23" t="s">
        <v>283</v>
      </c>
      <c r="G1079" s="25" t="s">
        <v>307</v>
      </c>
      <c r="H1079" s="24">
        <v>1</v>
      </c>
      <c r="I1079" s="25" t="s">
        <v>134</v>
      </c>
      <c r="J1079" s="32">
        <v>45345</v>
      </c>
      <c r="K1079" s="24">
        <v>0.98</v>
      </c>
      <c r="L1079" s="9">
        <f t="shared" si="96"/>
        <v>695</v>
      </c>
      <c r="M1079" s="4">
        <f>IF(Table3[[#This Row],[Afrondingsdatum YB]]="N/A","-",Table3[[#This Row],[Afrondingsdatum YB]]-Table3[[#This Row],[StartDatum]])</f>
        <v>45345</v>
      </c>
      <c r="N1079" s="4"/>
      <c r="O1079">
        <f t="shared" si="98"/>
        <v>114</v>
      </c>
      <c r="P1079">
        <f t="shared" si="98"/>
        <v>101</v>
      </c>
      <c r="Q1079">
        <f t="shared" si="98"/>
        <v>109</v>
      </c>
      <c r="R1079">
        <f t="shared" si="98"/>
        <v>121</v>
      </c>
      <c r="S1079">
        <f t="shared" si="98"/>
        <v>46</v>
      </c>
      <c r="T1079">
        <f t="shared" si="98"/>
        <v>97</v>
      </c>
      <c r="U1079">
        <f t="shared" si="98"/>
        <v>107</v>
      </c>
      <c r="V1079">
        <f t="shared" si="98"/>
        <v>98</v>
      </c>
      <c r="W1079" s="5">
        <f t="shared" si="94"/>
        <v>870</v>
      </c>
      <c r="X1079" s="9" t="str">
        <f t="shared" si="95"/>
        <v>e870</v>
      </c>
    </row>
    <row r="1080" spans="1:24" x14ac:dyDescent="0.2">
      <c r="A1080" s="9" t="s">
        <v>425</v>
      </c>
      <c r="B1080" s="9">
        <v>3</v>
      </c>
      <c r="C1080" s="25">
        <v>5</v>
      </c>
      <c r="D1080" s="25"/>
      <c r="E1080" s="23">
        <v>45362</v>
      </c>
      <c r="F1080" s="23" t="s">
        <v>280</v>
      </c>
      <c r="G1080" s="25" t="s">
        <v>308</v>
      </c>
      <c r="H1080" s="24">
        <v>0</v>
      </c>
      <c r="I1080" s="25" t="s">
        <v>8</v>
      </c>
      <c r="J1080" s="32" t="s">
        <v>7</v>
      </c>
      <c r="K1080" s="24" t="s">
        <v>9</v>
      </c>
      <c r="L1080" s="9">
        <f t="shared" si="96"/>
        <v>712</v>
      </c>
      <c r="M1080" s="4" t="str">
        <f>IF(Table3[[#This Row],[Afrondingsdatum YB]]="N/A","-",Table3[[#This Row],[Afrondingsdatum YB]]-Table3[[#This Row],[StartDatum]])</f>
        <v>-</v>
      </c>
      <c r="N1080" s="4"/>
      <c r="O1080">
        <f t="shared" si="98"/>
        <v>114</v>
      </c>
      <c r="P1080">
        <f t="shared" si="98"/>
        <v>111</v>
      </c>
      <c r="Q1080">
        <f t="shared" si="98"/>
        <v>119</v>
      </c>
      <c r="R1080">
        <f t="shared" si="98"/>
        <v>97</v>
      </c>
      <c r="S1080">
        <f t="shared" si="98"/>
        <v>110</v>
      </c>
      <c r="T1080">
        <f t="shared" si="98"/>
        <v>46</v>
      </c>
      <c r="U1080">
        <f t="shared" si="98"/>
        <v>115</v>
      </c>
      <c r="V1080">
        <f t="shared" si="98"/>
        <v>97</v>
      </c>
      <c r="W1080" s="5">
        <f t="shared" si="94"/>
        <v>919</v>
      </c>
      <c r="X1080" s="9" t="str">
        <f t="shared" si="95"/>
        <v>o919</v>
      </c>
    </row>
    <row r="1081" spans="1:24" x14ac:dyDescent="0.2">
      <c r="A1081" s="9" t="s">
        <v>425</v>
      </c>
      <c r="B1081" s="9">
        <v>3</v>
      </c>
      <c r="C1081" s="25">
        <v>5</v>
      </c>
      <c r="D1081" s="25"/>
      <c r="E1081" s="23">
        <v>45362</v>
      </c>
      <c r="F1081" s="23" t="s">
        <v>283</v>
      </c>
      <c r="G1081" s="25" t="s">
        <v>309</v>
      </c>
      <c r="H1081" s="24">
        <v>0.45</v>
      </c>
      <c r="I1081" s="25" t="s">
        <v>193</v>
      </c>
      <c r="J1081" s="32" t="s">
        <v>7</v>
      </c>
      <c r="K1081" s="24" t="s">
        <v>9</v>
      </c>
      <c r="L1081" s="9">
        <f t="shared" si="96"/>
        <v>736</v>
      </c>
      <c r="M1081" s="4" t="str">
        <f>IF(Table3[[#This Row],[Afrondingsdatum YB]]="N/A","-",Table3[[#This Row],[Afrondingsdatum YB]]-Table3[[#This Row],[StartDatum]])</f>
        <v>-</v>
      </c>
      <c r="N1081" s="4"/>
      <c r="O1081">
        <f t="shared" si="98"/>
        <v>115</v>
      </c>
      <c r="P1081">
        <f t="shared" si="98"/>
        <v>97</v>
      </c>
      <c r="Q1081">
        <f t="shared" si="98"/>
        <v>121</v>
      </c>
      <c r="R1081">
        <f t="shared" si="98"/>
        <v>102</v>
      </c>
      <c r="S1081">
        <f t="shared" si="98"/>
        <v>101</v>
      </c>
      <c r="T1081">
        <f t="shared" si="98"/>
        <v>100</v>
      </c>
      <c r="U1081">
        <f t="shared" si="98"/>
        <v>100</v>
      </c>
      <c r="V1081">
        <f t="shared" si="98"/>
        <v>105</v>
      </c>
      <c r="W1081" s="5">
        <f t="shared" si="94"/>
        <v>958</v>
      </c>
      <c r="X1081" s="9" t="str">
        <f t="shared" si="95"/>
        <v>a958</v>
      </c>
    </row>
    <row r="1082" spans="1:24" x14ac:dyDescent="0.2">
      <c r="A1082" s="9" t="s">
        <v>425</v>
      </c>
      <c r="B1082" s="9">
        <v>3</v>
      </c>
      <c r="C1082" s="25">
        <v>5</v>
      </c>
      <c r="D1082" s="25"/>
      <c r="E1082" s="23">
        <v>45362</v>
      </c>
      <c r="F1082" s="23" t="s">
        <v>283</v>
      </c>
      <c r="G1082" s="25" t="s">
        <v>310</v>
      </c>
      <c r="H1082" s="24">
        <v>0.19</v>
      </c>
      <c r="I1082" s="25" t="s">
        <v>208</v>
      </c>
      <c r="J1082" s="32" t="s">
        <v>7</v>
      </c>
      <c r="K1082" s="24" t="s">
        <v>9</v>
      </c>
      <c r="L1082" s="9">
        <f t="shared" si="96"/>
        <v>724</v>
      </c>
      <c r="M1082" s="4" t="str">
        <f>IF(Table3[[#This Row],[Afrondingsdatum YB]]="N/A","-",Table3[[#This Row],[Afrondingsdatum YB]]-Table3[[#This Row],[StartDatum]])</f>
        <v>-</v>
      </c>
      <c r="N1082" s="4"/>
      <c r="O1082">
        <f t="shared" si="98"/>
        <v>116</v>
      </c>
      <c r="P1082">
        <f t="shared" si="98"/>
        <v>111</v>
      </c>
      <c r="Q1082">
        <f t="shared" si="98"/>
        <v>109</v>
      </c>
      <c r="R1082">
        <f t="shared" si="98"/>
        <v>109</v>
      </c>
      <c r="S1082">
        <f t="shared" si="98"/>
        <v>121</v>
      </c>
      <c r="T1082">
        <f t="shared" si="98"/>
        <v>46</v>
      </c>
      <c r="U1082">
        <f t="shared" si="98"/>
        <v>112</v>
      </c>
      <c r="V1082">
        <f t="shared" si="98"/>
        <v>111</v>
      </c>
      <c r="W1082" s="5">
        <f t="shared" si="94"/>
        <v>916</v>
      </c>
      <c r="X1082" s="9" t="str">
        <f t="shared" si="95"/>
        <v>o916</v>
      </c>
    </row>
    <row r="1083" spans="1:24" x14ac:dyDescent="0.2">
      <c r="A1083" s="9" t="s">
        <v>425</v>
      </c>
      <c r="B1083" s="9">
        <v>3</v>
      </c>
      <c r="C1083" s="25">
        <v>5</v>
      </c>
      <c r="D1083" s="25"/>
      <c r="E1083" s="23">
        <v>45362</v>
      </c>
      <c r="F1083" s="23" t="s">
        <v>280</v>
      </c>
      <c r="G1083" s="25" t="s">
        <v>322</v>
      </c>
      <c r="H1083" s="24">
        <v>0</v>
      </c>
      <c r="I1083" s="25" t="s">
        <v>8</v>
      </c>
      <c r="J1083" s="32" t="s">
        <v>7</v>
      </c>
      <c r="K1083" s="24" t="s">
        <v>9</v>
      </c>
      <c r="L1083" s="9">
        <f t="shared" si="96"/>
        <v>728</v>
      </c>
      <c r="M1083" s="4" t="str">
        <f>IF(Table3[[#This Row],[Afrondingsdatum YB]]="N/A","-",Table3[[#This Row],[Afrondingsdatum YB]]-Table3[[#This Row],[StartDatum]])</f>
        <v>-</v>
      </c>
      <c r="N1083" s="4"/>
      <c r="O1083">
        <f t="shared" si="98"/>
        <v>120</v>
      </c>
      <c r="P1083">
        <f t="shared" si="98"/>
        <v>117</v>
      </c>
      <c r="Q1083">
        <f t="shared" si="98"/>
        <v>121</v>
      </c>
      <c r="R1083">
        <f t="shared" si="98"/>
        <v>117</v>
      </c>
      <c r="S1083">
        <f t="shared" si="98"/>
        <v>97</v>
      </c>
      <c r="T1083">
        <f t="shared" si="98"/>
        <v>110</v>
      </c>
      <c r="U1083">
        <f t="shared" si="98"/>
        <v>46</v>
      </c>
      <c r="V1083">
        <f t="shared" si="98"/>
        <v>121</v>
      </c>
      <c r="W1083" s="5">
        <f t="shared" si="94"/>
        <v>945</v>
      </c>
      <c r="X1083" s="9" t="str">
        <f t="shared" si="95"/>
        <v>u945</v>
      </c>
    </row>
    <row r="1084" spans="1:24" x14ac:dyDescent="0.2">
      <c r="A1084" s="9" t="s">
        <v>425</v>
      </c>
      <c r="B1084" s="9">
        <v>3</v>
      </c>
      <c r="C1084" s="25">
        <v>5</v>
      </c>
      <c r="D1084" s="25"/>
      <c r="E1084" s="23">
        <v>45362</v>
      </c>
      <c r="F1084" s="23" t="s">
        <v>283</v>
      </c>
      <c r="G1084" s="25" t="s">
        <v>311</v>
      </c>
      <c r="H1084" s="24">
        <v>0.28000000000000003</v>
      </c>
      <c r="I1084" s="25" t="s">
        <v>251</v>
      </c>
      <c r="J1084" s="32" t="s">
        <v>7</v>
      </c>
      <c r="K1084" s="24" t="s">
        <v>9</v>
      </c>
      <c r="L1084" s="9">
        <f t="shared" si="96"/>
        <v>758</v>
      </c>
      <c r="M1084" s="4" t="str">
        <f>IF(Table3[[#This Row],[Afrondingsdatum YB]]="N/A","-",Table3[[#This Row],[Afrondingsdatum YB]]-Table3[[#This Row],[StartDatum]])</f>
        <v>-</v>
      </c>
      <c r="N1084" s="4"/>
      <c r="O1084">
        <f t="shared" si="98"/>
        <v>121</v>
      </c>
      <c r="P1084">
        <f t="shared" si="98"/>
        <v>97</v>
      </c>
      <c r="Q1084">
        <f t="shared" si="98"/>
        <v>115</v>
      </c>
      <c r="R1084">
        <f t="shared" si="98"/>
        <v>109</v>
      </c>
      <c r="S1084">
        <f t="shared" si="98"/>
        <v>105</v>
      </c>
      <c r="T1084">
        <f t="shared" si="98"/>
        <v>110</v>
      </c>
      <c r="U1084">
        <f t="shared" si="98"/>
        <v>101</v>
      </c>
      <c r="V1084">
        <f t="shared" si="98"/>
        <v>46</v>
      </c>
      <c r="W1084" s="5">
        <f t="shared" si="94"/>
        <v>904</v>
      </c>
      <c r="X1084" s="9" t="str">
        <f t="shared" si="95"/>
        <v>a904</v>
      </c>
    </row>
    <row r="1085" spans="1:24" x14ac:dyDescent="0.2">
      <c r="A1085" s="9" t="s">
        <v>425</v>
      </c>
      <c r="B1085" s="9">
        <v>3</v>
      </c>
      <c r="C1085" s="25">
        <v>5</v>
      </c>
      <c r="D1085" s="25"/>
      <c r="E1085" s="23">
        <v>45362</v>
      </c>
      <c r="F1085" s="23" t="s">
        <v>280</v>
      </c>
      <c r="G1085" s="25" t="s">
        <v>312</v>
      </c>
      <c r="H1085" s="24">
        <v>0</v>
      </c>
      <c r="I1085" s="25" t="s">
        <v>8</v>
      </c>
      <c r="J1085" s="32" t="s">
        <v>7</v>
      </c>
      <c r="K1085" s="24" t="s">
        <v>9</v>
      </c>
      <c r="L1085" s="9">
        <f t="shared" si="96"/>
        <v>790</v>
      </c>
      <c r="M1085" s="4" t="str">
        <f>IF(Table3[[#This Row],[Afrondingsdatum YB]]="N/A","-",Table3[[#This Row],[Afrondingsdatum YB]]-Table3[[#This Row],[StartDatum]])</f>
        <v>-</v>
      </c>
      <c r="N1085" s="4"/>
      <c r="O1085">
        <f t="shared" si="98"/>
        <v>121</v>
      </c>
      <c r="P1085">
        <f t="shared" si="98"/>
        <v>111</v>
      </c>
      <c r="Q1085">
        <f t="shared" si="98"/>
        <v>117</v>
      </c>
      <c r="R1085">
        <f t="shared" si="98"/>
        <v>115</v>
      </c>
      <c r="S1085">
        <f t="shared" si="98"/>
        <v>115</v>
      </c>
      <c r="T1085">
        <f t="shared" si="98"/>
        <v>114</v>
      </c>
      <c r="U1085">
        <f t="shared" si="98"/>
        <v>97</v>
      </c>
      <c r="V1085">
        <f t="shared" si="98"/>
        <v>46</v>
      </c>
      <c r="W1085" s="5">
        <f t="shared" si="94"/>
        <v>928</v>
      </c>
      <c r="X1085" s="9" t="str">
        <f t="shared" si="95"/>
        <v>o928</v>
      </c>
    </row>
    <row r="1086" spans="1:24" x14ac:dyDescent="0.2">
      <c r="A1086" s="9" t="s">
        <v>425</v>
      </c>
      <c r="B1086" s="9">
        <v>3</v>
      </c>
      <c r="C1086" s="25">
        <v>5</v>
      </c>
      <c r="D1086" s="25"/>
      <c r="E1086" s="23">
        <v>45362</v>
      </c>
      <c r="F1086" s="23" t="s">
        <v>280</v>
      </c>
      <c r="G1086" s="25" t="s">
        <v>318</v>
      </c>
      <c r="H1086" s="24">
        <v>0.13</v>
      </c>
      <c r="I1086" s="25" t="s">
        <v>316</v>
      </c>
      <c r="J1086" s="32" t="s">
        <v>7</v>
      </c>
      <c r="K1086" s="24" t="s">
        <v>9</v>
      </c>
      <c r="L1086" s="9">
        <f t="shared" si="96"/>
        <v>672</v>
      </c>
      <c r="M1086" s="4" t="str">
        <f>IF(Table3[[#This Row],[Afrondingsdatum YB]]="N/A","-",Table3[[#This Row],[Afrondingsdatum YB]]-Table3[[#This Row],[StartDatum]])</f>
        <v>-</v>
      </c>
      <c r="N1086" s="4"/>
      <c r="O1086">
        <f t="shared" si="98"/>
        <v>115</v>
      </c>
      <c r="P1086">
        <f t="shared" si="98"/>
        <v>101</v>
      </c>
      <c r="Q1086">
        <f t="shared" si="98"/>
        <v>98</v>
      </c>
      <c r="R1086">
        <f t="shared" si="98"/>
        <v>97</v>
      </c>
      <c r="S1086">
        <f t="shared" si="98"/>
        <v>115</v>
      </c>
      <c r="T1086">
        <f t="shared" si="98"/>
        <v>46</v>
      </c>
      <c r="U1086">
        <f t="shared" si="98"/>
        <v>100</v>
      </c>
      <c r="V1086">
        <f t="shared" si="98"/>
        <v>101</v>
      </c>
      <c r="W1086" s="5">
        <f t="shared" si="94"/>
        <v>846</v>
      </c>
      <c r="X1086" s="9" t="str">
        <f t="shared" si="95"/>
        <v>e846</v>
      </c>
    </row>
    <row r="1087" spans="1:24" x14ac:dyDescent="0.2">
      <c r="A1087" s="9" t="s">
        <v>425</v>
      </c>
      <c r="B1087" s="9">
        <v>3</v>
      </c>
      <c r="C1087" s="25">
        <v>5</v>
      </c>
      <c r="D1087" s="25"/>
      <c r="E1087" s="23">
        <v>45362</v>
      </c>
      <c r="F1087" s="23" t="s">
        <v>283</v>
      </c>
      <c r="G1087" s="25" t="s">
        <v>323</v>
      </c>
      <c r="H1087" s="24">
        <v>0</v>
      </c>
      <c r="I1087" s="25" t="s">
        <v>8</v>
      </c>
      <c r="J1087" s="32" t="s">
        <v>7</v>
      </c>
      <c r="K1087" s="24" t="s">
        <v>9</v>
      </c>
      <c r="L1087" s="9">
        <f t="shared" si="96"/>
        <v>685</v>
      </c>
      <c r="M1087" s="4" t="str">
        <f>IF(Table3[[#This Row],[Afrondingsdatum YB]]="N/A","-",Table3[[#This Row],[Afrondingsdatum YB]]-Table3[[#This Row],[StartDatum]])</f>
        <v>-</v>
      </c>
      <c r="N1087" s="4"/>
      <c r="O1087">
        <f t="shared" si="98"/>
        <v>122</v>
      </c>
      <c r="P1087">
        <f t="shared" si="98"/>
        <v>105</v>
      </c>
      <c r="Q1087">
        <f t="shared" si="98"/>
        <v>97</v>
      </c>
      <c r="R1087">
        <f t="shared" si="98"/>
        <v>46</v>
      </c>
      <c r="S1087">
        <f t="shared" si="98"/>
        <v>100</v>
      </c>
      <c r="T1087">
        <f t="shared" si="98"/>
        <v>105</v>
      </c>
      <c r="U1087">
        <f t="shared" si="98"/>
        <v>110</v>
      </c>
      <c r="V1087">
        <f t="shared" si="98"/>
        <v>109</v>
      </c>
      <c r="W1087" s="5">
        <f t="shared" si="94"/>
        <v>901</v>
      </c>
      <c r="X1087" s="9" t="str">
        <f t="shared" si="95"/>
        <v>i901</v>
      </c>
    </row>
    <row r="1088" spans="1:24" x14ac:dyDescent="0.2">
      <c r="A1088" s="9" t="s">
        <v>425</v>
      </c>
      <c r="B1088" s="9">
        <v>3</v>
      </c>
      <c r="C1088" s="25">
        <v>6</v>
      </c>
      <c r="D1088" s="25"/>
      <c r="E1088" s="23">
        <v>45369</v>
      </c>
      <c r="F1088" s="23" t="s">
        <v>280</v>
      </c>
      <c r="G1088" s="25" t="s">
        <v>281</v>
      </c>
      <c r="H1088" s="24">
        <v>0.28000000000000003</v>
      </c>
      <c r="I1088" s="25" t="s">
        <v>324</v>
      </c>
      <c r="J1088" s="32" t="s">
        <v>7</v>
      </c>
      <c r="K1088" s="24" t="s">
        <v>9</v>
      </c>
      <c r="L1088" s="9">
        <f t="shared" si="96"/>
        <v>717</v>
      </c>
      <c r="M1088" s="4" t="str">
        <f>IF(Table3[[#This Row],[Afrondingsdatum YB]]="N/A","-",Table3[[#This Row],[Afrondingsdatum YB]]-Table3[[#This Row],[StartDatum]])</f>
        <v>-</v>
      </c>
      <c r="N1088" s="4"/>
      <c r="O1088">
        <f t="shared" si="98"/>
        <v>97</v>
      </c>
      <c r="P1088">
        <f t="shared" si="98"/>
        <v>98</v>
      </c>
      <c r="Q1088">
        <f t="shared" si="98"/>
        <v>100</v>
      </c>
      <c r="R1088">
        <f t="shared" si="98"/>
        <v>101</v>
      </c>
      <c r="S1088">
        <f t="shared" si="98"/>
        <v>108</v>
      </c>
      <c r="T1088">
        <f t="shared" si="98"/>
        <v>105</v>
      </c>
      <c r="U1088">
        <f t="shared" si="98"/>
        <v>108</v>
      </c>
      <c r="V1088">
        <f t="shared" si="98"/>
        <v>97</v>
      </c>
      <c r="W1088" s="5">
        <f t="shared" si="94"/>
        <v>889</v>
      </c>
      <c r="X1088" s="9" t="str">
        <f t="shared" si="95"/>
        <v>b889</v>
      </c>
    </row>
    <row r="1089" spans="1:24" x14ac:dyDescent="0.2">
      <c r="A1089" s="9" t="s">
        <v>425</v>
      </c>
      <c r="B1089" s="9">
        <v>3</v>
      </c>
      <c r="C1089" s="25">
        <v>6</v>
      </c>
      <c r="D1089" s="25"/>
      <c r="E1089" s="23">
        <v>45369</v>
      </c>
      <c r="F1089" s="23" t="s">
        <v>280</v>
      </c>
      <c r="G1089" s="25" t="s">
        <v>282</v>
      </c>
      <c r="H1089" s="24">
        <v>0.02</v>
      </c>
      <c r="I1089" s="25" t="s">
        <v>325</v>
      </c>
      <c r="J1089" s="32" t="s">
        <v>7</v>
      </c>
      <c r="K1089" s="24" t="s">
        <v>9</v>
      </c>
      <c r="L1089" s="9">
        <f t="shared" si="96"/>
        <v>675</v>
      </c>
      <c r="M1089" s="4" t="str">
        <f>IF(Table3[[#This Row],[Afrondingsdatum YB]]="N/A","-",Table3[[#This Row],[Afrondingsdatum YB]]-Table3[[#This Row],[StartDatum]])</f>
        <v>-</v>
      </c>
      <c r="N1089" s="4"/>
      <c r="O1089">
        <f t="shared" si="98"/>
        <v>97</v>
      </c>
      <c r="P1089">
        <f t="shared" si="98"/>
        <v>104</v>
      </c>
      <c r="Q1089">
        <f t="shared" si="98"/>
        <v>109</v>
      </c>
      <c r="R1089">
        <f t="shared" si="98"/>
        <v>97</v>
      </c>
      <c r="S1089">
        <f t="shared" si="98"/>
        <v>100</v>
      </c>
      <c r="T1089">
        <f t="shared" si="98"/>
        <v>46</v>
      </c>
      <c r="U1089">
        <f t="shared" si="98"/>
        <v>122</v>
      </c>
      <c r="V1089">
        <f t="shared" si="98"/>
        <v>97</v>
      </c>
      <c r="W1089" s="5">
        <f t="shared" si="94"/>
        <v>865</v>
      </c>
      <c r="X1089" s="9" t="str">
        <f t="shared" si="95"/>
        <v>h865</v>
      </c>
    </row>
    <row r="1090" spans="1:24" x14ac:dyDescent="0.2">
      <c r="A1090" s="9" t="s">
        <v>425</v>
      </c>
      <c r="B1090" s="9">
        <v>3</v>
      </c>
      <c r="C1090" s="25">
        <v>6</v>
      </c>
      <c r="D1090" s="25"/>
      <c r="E1090" s="23">
        <v>45369</v>
      </c>
      <c r="F1090" s="23" t="s">
        <v>283</v>
      </c>
      <c r="G1090" s="25" t="s">
        <v>284</v>
      </c>
      <c r="H1090" s="24">
        <v>1</v>
      </c>
      <c r="I1090" s="25" t="s">
        <v>208</v>
      </c>
      <c r="J1090" s="32">
        <v>45354</v>
      </c>
      <c r="K1090" s="24">
        <v>0.8</v>
      </c>
      <c r="L1090" s="9">
        <f t="shared" si="96"/>
        <v>656</v>
      </c>
      <c r="M1090" s="4">
        <f>IF(Table3[[#This Row],[Afrondingsdatum YB]]="N/A","-",Table3[[#This Row],[Afrondingsdatum YB]]-Table3[[#This Row],[StartDatum]])</f>
        <v>45354</v>
      </c>
      <c r="N1090" s="4"/>
      <c r="O1090">
        <f t="shared" si="98"/>
        <v>65</v>
      </c>
      <c r="P1090">
        <f t="shared" si="98"/>
        <v>104</v>
      </c>
      <c r="Q1090">
        <f t="shared" si="98"/>
        <v>109</v>
      </c>
      <c r="R1090">
        <f t="shared" si="98"/>
        <v>101</v>
      </c>
      <c r="S1090">
        <f t="shared" si="98"/>
        <v>116</v>
      </c>
      <c r="T1090">
        <f t="shared" si="98"/>
        <v>46</v>
      </c>
      <c r="U1090">
        <f t="shared" si="98"/>
        <v>115</v>
      </c>
      <c r="V1090">
        <f t="shared" si="98"/>
        <v>101</v>
      </c>
      <c r="W1090" s="5">
        <f t="shared" si="94"/>
        <v>847</v>
      </c>
      <c r="X1090" s="9" t="str">
        <f t="shared" si="95"/>
        <v>h847</v>
      </c>
    </row>
    <row r="1091" spans="1:24" x14ac:dyDescent="0.2">
      <c r="A1091" s="9" t="s">
        <v>425</v>
      </c>
      <c r="B1091" s="9">
        <v>3</v>
      </c>
      <c r="C1091" s="25">
        <v>6</v>
      </c>
      <c r="D1091" s="25"/>
      <c r="E1091" s="23">
        <v>45369</v>
      </c>
      <c r="F1091" s="23" t="s">
        <v>283</v>
      </c>
      <c r="G1091" s="25" t="s">
        <v>285</v>
      </c>
      <c r="H1091" s="24">
        <v>0</v>
      </c>
      <c r="I1091" s="25" t="s">
        <v>8</v>
      </c>
      <c r="J1091" s="32" t="s">
        <v>7</v>
      </c>
      <c r="K1091" s="24" t="s">
        <v>9</v>
      </c>
      <c r="L1091" s="9">
        <f t="shared" si="96"/>
        <v>747</v>
      </c>
      <c r="M1091" s="4" t="str">
        <f>IF(Table3[[#This Row],[Afrondingsdatum YB]]="N/A","-",Table3[[#This Row],[Afrondingsdatum YB]]-Table3[[#This Row],[StartDatum]])</f>
        <v>-</v>
      </c>
      <c r="N1091" s="4"/>
      <c r="O1091">
        <f t="shared" si="98"/>
        <v>97</v>
      </c>
      <c r="P1091">
        <f t="shared" si="98"/>
        <v>110</v>
      </c>
      <c r="Q1091">
        <f t="shared" si="98"/>
        <v>97</v>
      </c>
      <c r="R1091">
        <f t="shared" si="98"/>
        <v>115</v>
      </c>
      <c r="S1091">
        <f t="shared" si="98"/>
        <v>116</v>
      </c>
      <c r="T1091">
        <f t="shared" si="98"/>
        <v>97</v>
      </c>
      <c r="U1091">
        <f t="shared" si="98"/>
        <v>115</v>
      </c>
      <c r="V1091">
        <f t="shared" si="98"/>
        <v>105</v>
      </c>
      <c r="W1091" s="5">
        <f t="shared" si="94"/>
        <v>905</v>
      </c>
      <c r="X1091" s="9" t="str">
        <f t="shared" si="95"/>
        <v>n905</v>
      </c>
    </row>
    <row r="1092" spans="1:24" x14ac:dyDescent="0.2">
      <c r="A1092" s="9" t="s">
        <v>425</v>
      </c>
      <c r="B1092" s="9">
        <v>3</v>
      </c>
      <c r="C1092" s="25">
        <v>6</v>
      </c>
      <c r="D1092" s="25"/>
      <c r="E1092" s="23">
        <v>45369</v>
      </c>
      <c r="F1092" s="23" t="s">
        <v>283</v>
      </c>
      <c r="G1092" s="25" t="s">
        <v>286</v>
      </c>
      <c r="H1092" s="24">
        <v>1</v>
      </c>
      <c r="I1092" s="25" t="s">
        <v>238</v>
      </c>
      <c r="J1092" s="32">
        <v>45352</v>
      </c>
      <c r="K1092" s="24">
        <v>0.85</v>
      </c>
      <c r="L1092" s="9">
        <f t="shared" si="96"/>
        <v>645</v>
      </c>
      <c r="M1092" s="4">
        <f>IF(Table3[[#This Row],[Afrondingsdatum YB]]="N/A","-",Table3[[#This Row],[Afrondingsdatum YB]]-Table3[[#This Row],[StartDatum]])</f>
        <v>45352</v>
      </c>
      <c r="N1092" s="4"/>
      <c r="O1092">
        <f t="shared" si="98"/>
        <v>66</v>
      </c>
      <c r="P1092">
        <f t="shared" si="98"/>
        <v>97</v>
      </c>
      <c r="Q1092">
        <f t="shared" si="98"/>
        <v>115</v>
      </c>
      <c r="R1092">
        <f t="shared" si="98"/>
        <v>46</v>
      </c>
      <c r="S1092">
        <f t="shared" si="98"/>
        <v>107</v>
      </c>
      <c r="T1092">
        <f t="shared" si="98"/>
        <v>105</v>
      </c>
      <c r="U1092">
        <f t="shared" si="98"/>
        <v>109</v>
      </c>
      <c r="V1092">
        <f t="shared" si="98"/>
        <v>109</v>
      </c>
      <c r="W1092" s="5">
        <f t="shared" si="94"/>
        <v>901</v>
      </c>
      <c r="X1092" s="9" t="str">
        <f t="shared" si="95"/>
        <v>a901</v>
      </c>
    </row>
    <row r="1093" spans="1:24" x14ac:dyDescent="0.2">
      <c r="A1093" s="9" t="s">
        <v>425</v>
      </c>
      <c r="B1093" s="9">
        <v>3</v>
      </c>
      <c r="C1093" s="25">
        <v>6</v>
      </c>
      <c r="D1093" s="25"/>
      <c r="E1093" s="23">
        <v>45369</v>
      </c>
      <c r="F1093" s="23" t="s">
        <v>280</v>
      </c>
      <c r="G1093" s="25" t="s">
        <v>287</v>
      </c>
      <c r="H1093" s="24">
        <v>0.37</v>
      </c>
      <c r="I1093" s="25" t="s">
        <v>161</v>
      </c>
      <c r="J1093" s="32" t="s">
        <v>7</v>
      </c>
      <c r="K1093" s="24" t="s">
        <v>9</v>
      </c>
      <c r="L1093" s="9">
        <f t="shared" si="96"/>
        <v>666</v>
      </c>
      <c r="M1093" s="4" t="str">
        <f>IF(Table3[[#This Row],[Afrondingsdatum YB]]="N/A","-",Table3[[#This Row],[Afrondingsdatum YB]]-Table3[[#This Row],[StartDatum]])</f>
        <v>-</v>
      </c>
      <c r="N1093" s="4"/>
      <c r="O1093">
        <f t="shared" si="98"/>
        <v>100</v>
      </c>
      <c r="P1093">
        <f t="shared" si="98"/>
        <v>106</v>
      </c>
      <c r="Q1093">
        <f t="shared" si="98"/>
        <v>97</v>
      </c>
      <c r="R1093">
        <f t="shared" si="98"/>
        <v>98</v>
      </c>
      <c r="S1093">
        <f t="shared" si="98"/>
        <v>105</v>
      </c>
      <c r="T1093">
        <f t="shared" si="98"/>
        <v>114</v>
      </c>
      <c r="U1093">
        <f t="shared" si="98"/>
        <v>46</v>
      </c>
      <c r="V1093">
        <f t="shared" si="98"/>
        <v>104</v>
      </c>
      <c r="W1093" s="5">
        <f t="shared" si="94"/>
        <v>838</v>
      </c>
      <c r="X1093" s="9" t="str">
        <f t="shared" si="95"/>
        <v>j838</v>
      </c>
    </row>
    <row r="1094" spans="1:24" x14ac:dyDescent="0.2">
      <c r="A1094" s="9" t="s">
        <v>425</v>
      </c>
      <c r="B1094" s="9">
        <v>3</v>
      </c>
      <c r="C1094" s="25">
        <v>6</v>
      </c>
      <c r="D1094" s="25"/>
      <c r="E1094" s="23">
        <v>45369</v>
      </c>
      <c r="F1094" s="23" t="s">
        <v>280</v>
      </c>
      <c r="G1094" s="25" t="s">
        <v>288</v>
      </c>
      <c r="H1094" s="24">
        <v>0.88</v>
      </c>
      <c r="I1094" s="25" t="s">
        <v>230</v>
      </c>
      <c r="J1094" s="32" t="s">
        <v>7</v>
      </c>
      <c r="K1094" s="24" t="s">
        <v>9</v>
      </c>
      <c r="L1094" s="9">
        <f t="shared" si="96"/>
        <v>682</v>
      </c>
      <c r="M1094" s="4" t="str">
        <f>IF(Table3[[#This Row],[Afrondingsdatum YB]]="N/A","-",Table3[[#This Row],[Afrondingsdatum YB]]-Table3[[#This Row],[StartDatum]])</f>
        <v>-</v>
      </c>
      <c r="N1094" s="4"/>
      <c r="O1094">
        <f t="shared" si="98"/>
        <v>103</v>
      </c>
      <c r="P1094">
        <f t="shared" si="98"/>
        <v>108</v>
      </c>
      <c r="Q1094">
        <f t="shared" si="98"/>
        <v>101</v>
      </c>
      <c r="R1094">
        <f t="shared" si="98"/>
        <v>110</v>
      </c>
      <c r="S1094">
        <f t="shared" si="98"/>
        <v>110</v>
      </c>
      <c r="T1094">
        <f t="shared" si="98"/>
        <v>46</v>
      </c>
      <c r="U1094">
        <f t="shared" si="98"/>
        <v>104</v>
      </c>
      <c r="V1094">
        <f t="shared" si="98"/>
        <v>101</v>
      </c>
      <c r="W1094" s="5">
        <f t="shared" si="94"/>
        <v>849</v>
      </c>
      <c r="X1094" s="9" t="str">
        <f t="shared" si="95"/>
        <v>l849</v>
      </c>
    </row>
    <row r="1095" spans="1:24" x14ac:dyDescent="0.2">
      <c r="A1095" s="9" t="s">
        <v>425</v>
      </c>
      <c r="B1095" s="9">
        <v>3</v>
      </c>
      <c r="C1095" s="25">
        <v>6</v>
      </c>
      <c r="D1095" s="25"/>
      <c r="E1095" s="23">
        <v>45369</v>
      </c>
      <c r="F1095" s="23" t="s">
        <v>283</v>
      </c>
      <c r="G1095" s="25" t="s">
        <v>289</v>
      </c>
      <c r="H1095" s="24">
        <v>0.04</v>
      </c>
      <c r="I1095" s="25" t="s">
        <v>144</v>
      </c>
      <c r="J1095" s="32" t="s">
        <v>7</v>
      </c>
      <c r="K1095" s="24" t="s">
        <v>9</v>
      </c>
      <c r="L1095" s="9">
        <f t="shared" si="96"/>
        <v>675</v>
      </c>
      <c r="M1095" s="4" t="str">
        <f>IF(Table3[[#This Row],[Afrondingsdatum YB]]="N/A","-",Table3[[#This Row],[Afrondingsdatum YB]]-Table3[[#This Row],[StartDatum]])</f>
        <v>-</v>
      </c>
      <c r="N1095" s="4"/>
      <c r="O1095">
        <f t="shared" si="98"/>
        <v>103</v>
      </c>
      <c r="P1095">
        <f t="shared" si="98"/>
        <v>114</v>
      </c>
      <c r="Q1095">
        <f t="shared" si="98"/>
        <v>97</v>
      </c>
      <c r="R1095">
        <f t="shared" si="98"/>
        <v>99</v>
      </c>
      <c r="S1095">
        <f t="shared" si="98"/>
        <v>101</v>
      </c>
      <c r="T1095">
        <f t="shared" si="98"/>
        <v>46</v>
      </c>
      <c r="U1095">
        <f t="shared" si="98"/>
        <v>115</v>
      </c>
      <c r="V1095">
        <f t="shared" si="98"/>
        <v>101</v>
      </c>
      <c r="W1095" s="5">
        <f t="shared" si="94"/>
        <v>839</v>
      </c>
      <c r="X1095" s="9" t="str">
        <f t="shared" si="95"/>
        <v>r839</v>
      </c>
    </row>
    <row r="1096" spans="1:24" x14ac:dyDescent="0.2">
      <c r="A1096" s="9" t="s">
        <v>425</v>
      </c>
      <c r="B1096" s="9">
        <v>3</v>
      </c>
      <c r="C1096" s="25">
        <v>6</v>
      </c>
      <c r="D1096" s="25"/>
      <c r="E1096" s="23">
        <v>45369</v>
      </c>
      <c r="F1096" s="23" t="s">
        <v>283</v>
      </c>
      <c r="G1096" s="25" t="s">
        <v>290</v>
      </c>
      <c r="H1096" s="24">
        <v>1</v>
      </c>
      <c r="I1096" s="25" t="s">
        <v>214</v>
      </c>
      <c r="J1096" s="32">
        <v>45358</v>
      </c>
      <c r="K1096" s="24">
        <v>0.78</v>
      </c>
      <c r="L1096" s="9">
        <f t="shared" si="96"/>
        <v>677</v>
      </c>
      <c r="M1096" s="4">
        <f>IF(Table3[[#This Row],[Afrondingsdatum YB]]="N/A","-",Table3[[#This Row],[Afrondingsdatum YB]]-Table3[[#This Row],[StartDatum]])</f>
        <v>45358</v>
      </c>
      <c r="N1096" s="4"/>
      <c r="O1096">
        <f t="shared" si="98"/>
        <v>105</v>
      </c>
      <c r="P1096">
        <f t="shared" si="98"/>
        <v>108</v>
      </c>
      <c r="Q1096">
        <f t="shared" si="98"/>
        <v>105</v>
      </c>
      <c r="R1096">
        <f t="shared" si="98"/>
        <v>97</v>
      </c>
      <c r="S1096">
        <f t="shared" si="98"/>
        <v>115</v>
      </c>
      <c r="T1096">
        <f t="shared" si="98"/>
        <v>46</v>
      </c>
      <c r="U1096">
        <f t="shared" si="98"/>
        <v>101</v>
      </c>
      <c r="V1096">
        <f t="shared" si="98"/>
        <v>108</v>
      </c>
      <c r="W1096" s="5">
        <f t="shared" si="94"/>
        <v>868</v>
      </c>
      <c r="X1096" s="9" t="str">
        <f t="shared" si="95"/>
        <v>l868</v>
      </c>
    </row>
    <row r="1097" spans="1:24" x14ac:dyDescent="0.2">
      <c r="A1097" s="9" t="s">
        <v>425</v>
      </c>
      <c r="B1097" s="9">
        <v>3</v>
      </c>
      <c r="C1097" s="25">
        <v>6</v>
      </c>
      <c r="D1097" s="25"/>
      <c r="E1097" s="23">
        <v>45369</v>
      </c>
      <c r="F1097" s="23" t="s">
        <v>283</v>
      </c>
      <c r="G1097" s="25" t="s">
        <v>291</v>
      </c>
      <c r="H1097" s="24">
        <v>0</v>
      </c>
      <c r="I1097" s="25" t="s">
        <v>8</v>
      </c>
      <c r="J1097" s="32" t="s">
        <v>7</v>
      </c>
      <c r="K1097" s="24" t="s">
        <v>9</v>
      </c>
      <c r="L1097" s="9">
        <f t="shared" si="96"/>
        <v>638</v>
      </c>
      <c r="M1097" s="4" t="str">
        <f>IF(Table3[[#This Row],[Afrondingsdatum YB]]="N/A","-",Table3[[#This Row],[Afrondingsdatum YB]]-Table3[[#This Row],[StartDatum]])</f>
        <v>-</v>
      </c>
      <c r="N1097" s="4"/>
      <c r="O1097">
        <f t="shared" si="98"/>
        <v>73</v>
      </c>
      <c r="P1097">
        <f t="shared" si="98"/>
        <v>115</v>
      </c>
      <c r="Q1097">
        <f t="shared" si="98"/>
        <v>97</v>
      </c>
      <c r="R1097">
        <f t="shared" si="98"/>
        <v>98</v>
      </c>
      <c r="S1097">
        <f t="shared" si="98"/>
        <v>101</v>
      </c>
      <c r="T1097">
        <f t="shared" si="98"/>
        <v>108</v>
      </c>
      <c r="U1097">
        <f t="shared" si="98"/>
        <v>46</v>
      </c>
      <c r="V1097">
        <f t="shared" si="98"/>
        <v>109</v>
      </c>
      <c r="W1097" s="5">
        <f t="shared" si="94"/>
        <v>810</v>
      </c>
      <c r="X1097" s="9" t="str">
        <f t="shared" si="95"/>
        <v>s810</v>
      </c>
    </row>
    <row r="1098" spans="1:24" x14ac:dyDescent="0.2">
      <c r="A1098" s="9" t="s">
        <v>425</v>
      </c>
      <c r="B1098" s="9">
        <v>3</v>
      </c>
      <c r="C1098" s="25">
        <v>6</v>
      </c>
      <c r="D1098" s="25"/>
      <c r="E1098" s="23">
        <v>45369</v>
      </c>
      <c r="F1098" s="23" t="s">
        <v>280</v>
      </c>
      <c r="G1098" s="25" t="s">
        <v>292</v>
      </c>
      <c r="H1098" s="24">
        <v>0.09</v>
      </c>
      <c r="I1098" s="25" t="s">
        <v>326</v>
      </c>
      <c r="J1098" s="32" t="s">
        <v>7</v>
      </c>
      <c r="K1098" s="24" t="s">
        <v>9</v>
      </c>
      <c r="L1098" s="9">
        <f t="shared" si="96"/>
        <v>673</v>
      </c>
      <c r="M1098" s="4" t="str">
        <f>IF(Table3[[#This Row],[Afrondingsdatum YB]]="N/A","-",Table3[[#This Row],[Afrondingsdatum YB]]-Table3[[#This Row],[StartDatum]])</f>
        <v>-</v>
      </c>
      <c r="N1098" s="4"/>
      <c r="O1098">
        <f t="shared" si="98"/>
        <v>106</v>
      </c>
      <c r="P1098">
        <f t="shared" si="98"/>
        <v>97</v>
      </c>
      <c r="Q1098">
        <f t="shared" si="98"/>
        <v>105</v>
      </c>
      <c r="R1098">
        <f t="shared" si="98"/>
        <v>114</v>
      </c>
      <c r="S1098">
        <f t="shared" si="98"/>
        <v>46</v>
      </c>
      <c r="T1098">
        <f t="shared" si="98"/>
        <v>104</v>
      </c>
      <c r="U1098">
        <f t="shared" si="98"/>
        <v>101</v>
      </c>
      <c r="V1098">
        <f t="shared" si="98"/>
        <v>107</v>
      </c>
      <c r="W1098" s="5">
        <f t="shared" si="94"/>
        <v>856</v>
      </c>
      <c r="X1098" s="9" t="str">
        <f t="shared" si="95"/>
        <v>a856</v>
      </c>
    </row>
    <row r="1099" spans="1:24" x14ac:dyDescent="0.2">
      <c r="A1099" s="9" t="s">
        <v>425</v>
      </c>
      <c r="B1099" s="9">
        <v>3</v>
      </c>
      <c r="C1099" s="25">
        <v>6</v>
      </c>
      <c r="D1099" s="25"/>
      <c r="E1099" s="23">
        <v>45369</v>
      </c>
      <c r="F1099" s="23" t="s">
        <v>283</v>
      </c>
      <c r="G1099" s="25" t="s">
        <v>293</v>
      </c>
      <c r="H1099" s="24">
        <v>0</v>
      </c>
      <c r="I1099" s="25" t="s">
        <v>8</v>
      </c>
      <c r="J1099" s="32" t="s">
        <v>7</v>
      </c>
      <c r="K1099" s="24" t="s">
        <v>9</v>
      </c>
      <c r="L1099" s="9">
        <f t="shared" si="96"/>
        <v>692</v>
      </c>
      <c r="M1099" s="4" t="str">
        <f>IF(Table3[[#This Row],[Afrondingsdatum YB]]="N/A","-",Table3[[#This Row],[Afrondingsdatum YB]]-Table3[[#This Row],[StartDatum]])</f>
        <v>-</v>
      </c>
      <c r="N1099" s="4"/>
      <c r="O1099">
        <f t="shared" si="98"/>
        <v>106</v>
      </c>
      <c r="P1099">
        <f t="shared" si="98"/>
        <v>101</v>
      </c>
      <c r="Q1099">
        <f t="shared" si="98"/>
        <v>115</v>
      </c>
      <c r="R1099">
        <f t="shared" si="98"/>
        <v>115</v>
      </c>
      <c r="S1099">
        <f t="shared" si="98"/>
        <v>101</v>
      </c>
      <c r="T1099">
        <f t="shared" si="98"/>
        <v>46</v>
      </c>
      <c r="U1099">
        <f t="shared" si="98"/>
        <v>108</v>
      </c>
      <c r="V1099">
        <f t="shared" si="98"/>
        <v>101</v>
      </c>
      <c r="W1099" s="5">
        <f t="shared" si="94"/>
        <v>886</v>
      </c>
      <c r="X1099" s="9" t="str">
        <f t="shared" si="95"/>
        <v>e886</v>
      </c>
    </row>
    <row r="1100" spans="1:24" x14ac:dyDescent="0.2">
      <c r="A1100" s="9" t="s">
        <v>425</v>
      </c>
      <c r="B1100" s="9">
        <v>3</v>
      </c>
      <c r="C1100" s="25">
        <v>6</v>
      </c>
      <c r="D1100" s="25"/>
      <c r="E1100" s="23">
        <v>45369</v>
      </c>
      <c r="F1100" s="23" t="s">
        <v>283</v>
      </c>
      <c r="G1100" s="25" t="s">
        <v>294</v>
      </c>
      <c r="H1100" s="24">
        <v>0</v>
      </c>
      <c r="I1100" s="25" t="s">
        <v>8</v>
      </c>
      <c r="J1100" s="32" t="s">
        <v>7</v>
      </c>
      <c r="K1100" s="24" t="s">
        <v>9</v>
      </c>
      <c r="L1100" s="9">
        <f t="shared" si="96"/>
        <v>681</v>
      </c>
      <c r="M1100" s="4" t="str">
        <f>IF(Table3[[#This Row],[Afrondingsdatum YB]]="N/A","-",Table3[[#This Row],[Afrondingsdatum YB]]-Table3[[#This Row],[StartDatum]])</f>
        <v>-</v>
      </c>
      <c r="N1100" s="4"/>
      <c r="O1100">
        <f t="shared" si="98"/>
        <v>106</v>
      </c>
      <c r="P1100">
        <f t="shared" si="98"/>
        <v>111</v>
      </c>
      <c r="Q1100">
        <f t="shared" si="98"/>
        <v>114</v>
      </c>
      <c r="R1100">
        <f t="shared" si="98"/>
        <v>100</v>
      </c>
      <c r="S1100">
        <f t="shared" si="98"/>
        <v>46</v>
      </c>
      <c r="T1100">
        <f t="shared" si="98"/>
        <v>107</v>
      </c>
      <c r="U1100">
        <f t="shared" si="98"/>
        <v>97</v>
      </c>
      <c r="V1100">
        <f t="shared" si="98"/>
        <v>114</v>
      </c>
      <c r="W1100" s="5">
        <f t="shared" si="94"/>
        <v>893</v>
      </c>
      <c r="X1100" s="9" t="str">
        <f t="shared" si="95"/>
        <v>o893</v>
      </c>
    </row>
    <row r="1101" spans="1:24" x14ac:dyDescent="0.2">
      <c r="A1101" s="9" t="s">
        <v>425</v>
      </c>
      <c r="B1101" s="9">
        <v>3</v>
      </c>
      <c r="C1101" s="25">
        <v>6</v>
      </c>
      <c r="D1101" s="25"/>
      <c r="E1101" s="23">
        <v>45369</v>
      </c>
      <c r="F1101" s="23" t="s">
        <v>280</v>
      </c>
      <c r="G1101" s="25" t="s">
        <v>295</v>
      </c>
      <c r="H1101" s="24">
        <v>0.64</v>
      </c>
      <c r="I1101" s="25" t="s">
        <v>250</v>
      </c>
      <c r="J1101" s="32" t="s">
        <v>7</v>
      </c>
      <c r="K1101" s="24" t="s">
        <v>9</v>
      </c>
      <c r="L1101" s="9">
        <f t="shared" si="96"/>
        <v>691</v>
      </c>
      <c r="M1101" s="4" t="str">
        <f>IF(Table3[[#This Row],[Afrondingsdatum YB]]="N/A","-",Table3[[#This Row],[Afrondingsdatum YB]]-Table3[[#This Row],[StartDatum]])</f>
        <v>-</v>
      </c>
      <c r="N1101" s="4"/>
      <c r="O1101">
        <f t="shared" si="98"/>
        <v>106</v>
      </c>
      <c r="P1101">
        <f t="shared" si="98"/>
        <v>111</v>
      </c>
      <c r="Q1101">
        <f t="shared" si="98"/>
        <v>121</v>
      </c>
      <c r="R1101">
        <f t="shared" si="98"/>
        <v>99</v>
      </c>
      <c r="S1101">
        <f t="shared" si="98"/>
        <v>101</v>
      </c>
      <c r="T1101">
        <f t="shared" si="98"/>
        <v>46</v>
      </c>
      <c r="U1101">
        <f t="shared" si="98"/>
        <v>107</v>
      </c>
      <c r="V1101">
        <f t="shared" si="98"/>
        <v>111</v>
      </c>
      <c r="W1101" s="5">
        <f t="shared" si="94"/>
        <v>914</v>
      </c>
      <c r="X1101" s="9" t="str">
        <f t="shared" si="95"/>
        <v>o914</v>
      </c>
    </row>
    <row r="1102" spans="1:24" x14ac:dyDescent="0.2">
      <c r="A1102" s="9" t="s">
        <v>425</v>
      </c>
      <c r="B1102" s="9">
        <v>3</v>
      </c>
      <c r="C1102" s="25">
        <v>6</v>
      </c>
      <c r="D1102" s="25"/>
      <c r="E1102" s="23">
        <v>45369</v>
      </c>
      <c r="F1102" s="23" t="s">
        <v>283</v>
      </c>
      <c r="G1102" s="25" t="s">
        <v>296</v>
      </c>
      <c r="H1102" s="24">
        <v>0</v>
      </c>
      <c r="I1102" s="25" t="s">
        <v>8</v>
      </c>
      <c r="J1102" s="32" t="s">
        <v>7</v>
      </c>
      <c r="K1102" s="24" t="s">
        <v>9</v>
      </c>
      <c r="L1102" s="9">
        <f t="shared" si="96"/>
        <v>689</v>
      </c>
      <c r="M1102" s="4" t="str">
        <f>IF(Table3[[#This Row],[Afrondingsdatum YB]]="N/A","-",Table3[[#This Row],[Afrondingsdatum YB]]-Table3[[#This Row],[StartDatum]])</f>
        <v>-</v>
      </c>
      <c r="N1102" s="4"/>
      <c r="O1102">
        <f t="shared" si="98"/>
        <v>106</v>
      </c>
      <c r="P1102">
        <f t="shared" si="98"/>
        <v>117</v>
      </c>
      <c r="Q1102">
        <f t="shared" si="98"/>
        <v>108</v>
      </c>
      <c r="R1102">
        <f t="shared" si="98"/>
        <v>105</v>
      </c>
      <c r="S1102">
        <f t="shared" si="98"/>
        <v>97</v>
      </c>
      <c r="T1102">
        <f t="shared" si="98"/>
        <v>110</v>
      </c>
      <c r="U1102">
        <f t="shared" si="98"/>
        <v>46</v>
      </c>
      <c r="V1102">
        <f t="shared" si="98"/>
        <v>109</v>
      </c>
      <c r="W1102" s="5">
        <f t="shared" si="94"/>
        <v>877</v>
      </c>
      <c r="X1102" s="9" t="str">
        <f t="shared" si="95"/>
        <v>u877</v>
      </c>
    </row>
    <row r="1103" spans="1:24" x14ac:dyDescent="0.2">
      <c r="A1103" s="9" t="s">
        <v>425</v>
      </c>
      <c r="B1103" s="9">
        <v>3</v>
      </c>
      <c r="C1103" s="25">
        <v>6</v>
      </c>
      <c r="D1103" s="25"/>
      <c r="E1103" s="23">
        <v>45369</v>
      </c>
      <c r="F1103" s="23" t="s">
        <v>283</v>
      </c>
      <c r="G1103" s="25" t="s">
        <v>297</v>
      </c>
      <c r="H1103" s="24">
        <v>0.05</v>
      </c>
      <c r="I1103" s="25" t="s">
        <v>130</v>
      </c>
      <c r="J1103" s="32" t="s">
        <v>7</v>
      </c>
      <c r="K1103" s="24" t="s">
        <v>9</v>
      </c>
      <c r="L1103" s="9">
        <f t="shared" si="96"/>
        <v>698</v>
      </c>
      <c r="M1103" s="4" t="str">
        <f>IF(Table3[[#This Row],[Afrondingsdatum YB]]="N/A","-",Table3[[#This Row],[Afrondingsdatum YB]]-Table3[[#This Row],[StartDatum]])</f>
        <v>-</v>
      </c>
      <c r="N1103" s="4"/>
      <c r="O1103">
        <f t="shared" si="98"/>
        <v>106</v>
      </c>
      <c r="P1103">
        <f t="shared" si="98"/>
        <v>117</v>
      </c>
      <c r="Q1103">
        <f t="shared" si="98"/>
        <v>114</v>
      </c>
      <c r="R1103">
        <f t="shared" si="98"/>
        <v>114</v>
      </c>
      <c r="S1103">
        <f t="shared" si="98"/>
        <v>101</v>
      </c>
      <c r="T1103">
        <f t="shared" si="98"/>
        <v>46</v>
      </c>
      <c r="U1103">
        <f t="shared" si="98"/>
        <v>100</v>
      </c>
      <c r="V1103">
        <f t="shared" si="98"/>
        <v>101</v>
      </c>
      <c r="W1103" s="5">
        <f t="shared" si="94"/>
        <v>883</v>
      </c>
      <c r="X1103" s="9" t="str">
        <f t="shared" si="95"/>
        <v>u883</v>
      </c>
    </row>
    <row r="1104" spans="1:24" x14ac:dyDescent="0.2">
      <c r="A1104" s="9" t="s">
        <v>425</v>
      </c>
      <c r="B1104" s="9">
        <v>3</v>
      </c>
      <c r="C1104" s="25">
        <v>6</v>
      </c>
      <c r="D1104" s="25"/>
      <c r="E1104" s="23">
        <v>45369</v>
      </c>
      <c r="F1104" s="23" t="s">
        <v>280</v>
      </c>
      <c r="G1104" s="25" t="s">
        <v>298</v>
      </c>
      <c r="H1104" s="24">
        <v>0</v>
      </c>
      <c r="I1104" s="25" t="s">
        <v>299</v>
      </c>
      <c r="J1104" s="32" t="s">
        <v>7</v>
      </c>
      <c r="K1104" s="24" t="s">
        <v>9</v>
      </c>
      <c r="L1104" s="9">
        <f t="shared" si="96"/>
        <v>685</v>
      </c>
      <c r="M1104" s="4" t="str">
        <f>IF(Table3[[#This Row],[Afrondingsdatum YB]]="N/A","-",Table3[[#This Row],[Afrondingsdatum YB]]-Table3[[#This Row],[StartDatum]])</f>
        <v>-</v>
      </c>
      <c r="N1104" s="4"/>
      <c r="O1104">
        <f t="shared" si="98"/>
        <v>75</v>
      </c>
      <c r="P1104">
        <f t="shared" si="98"/>
        <v>121</v>
      </c>
      <c r="Q1104">
        <f t="shared" ref="P1104:V1124" si="99">CODE(MID($G1104,Q$1,1))</f>
        <v>114</v>
      </c>
      <c r="R1104">
        <f t="shared" si="99"/>
        <v>111</v>
      </c>
      <c r="S1104">
        <f t="shared" si="99"/>
        <v>110</v>
      </c>
      <c r="T1104">
        <f t="shared" si="99"/>
        <v>46</v>
      </c>
      <c r="U1104">
        <f t="shared" si="99"/>
        <v>108</v>
      </c>
      <c r="V1104">
        <f t="shared" si="99"/>
        <v>101</v>
      </c>
      <c r="W1104" s="5">
        <f t="shared" si="94"/>
        <v>870</v>
      </c>
      <c r="X1104" s="9" t="str">
        <f t="shared" si="95"/>
        <v>y870</v>
      </c>
    </row>
    <row r="1105" spans="1:24" x14ac:dyDescent="0.2">
      <c r="A1105" s="9" t="s">
        <v>425</v>
      </c>
      <c r="B1105" s="9">
        <v>3</v>
      </c>
      <c r="C1105" s="25">
        <v>6</v>
      </c>
      <c r="D1105" s="25"/>
      <c r="E1105" s="23">
        <v>45369</v>
      </c>
      <c r="F1105" s="23" t="s">
        <v>280</v>
      </c>
      <c r="G1105" s="25" t="s">
        <v>300</v>
      </c>
      <c r="H1105" s="24">
        <v>0</v>
      </c>
      <c r="I1105" s="25" t="s">
        <v>8</v>
      </c>
      <c r="J1105" s="32" t="s">
        <v>7</v>
      </c>
      <c r="K1105" s="24" t="s">
        <v>9</v>
      </c>
      <c r="L1105" s="9">
        <f t="shared" si="96"/>
        <v>761</v>
      </c>
      <c r="M1105" s="4" t="str">
        <f>IF(Table3[[#This Row],[Afrondingsdatum YB]]="N/A","-",Table3[[#This Row],[Afrondingsdatum YB]]-Table3[[#This Row],[StartDatum]])</f>
        <v>-</v>
      </c>
      <c r="N1105" s="4"/>
      <c r="O1105">
        <f t="shared" ref="O1105:V1154" si="100">CODE(MID($G1105,O$1,1))</f>
        <v>108</v>
      </c>
      <c r="P1105">
        <f t="shared" si="99"/>
        <v>117</v>
      </c>
      <c r="Q1105">
        <f t="shared" si="99"/>
        <v>99</v>
      </c>
      <c r="R1105">
        <f t="shared" si="99"/>
        <v>105</v>
      </c>
      <c r="S1105">
        <f t="shared" si="99"/>
        <v>97</v>
      </c>
      <c r="T1105">
        <f t="shared" si="99"/>
        <v>121</v>
      </c>
      <c r="U1105">
        <f t="shared" si="99"/>
        <v>114</v>
      </c>
      <c r="V1105">
        <f t="shared" si="99"/>
        <v>111</v>
      </c>
      <c r="W1105" s="5">
        <f t="shared" si="94"/>
        <v>933</v>
      </c>
      <c r="X1105" s="9" t="str">
        <f t="shared" si="95"/>
        <v>u933</v>
      </c>
    </row>
    <row r="1106" spans="1:24" x14ac:dyDescent="0.2">
      <c r="A1106" s="9" t="s">
        <v>425</v>
      </c>
      <c r="B1106" s="9">
        <v>3</v>
      </c>
      <c r="C1106" s="25">
        <v>6</v>
      </c>
      <c r="D1106" s="25"/>
      <c r="E1106" s="23">
        <v>45369</v>
      </c>
      <c r="F1106" s="23" t="s">
        <v>283</v>
      </c>
      <c r="G1106" s="25" t="s">
        <v>301</v>
      </c>
      <c r="H1106" s="24">
        <v>0</v>
      </c>
      <c r="I1106" s="25" t="s">
        <v>8</v>
      </c>
      <c r="J1106" s="32" t="s">
        <v>7</v>
      </c>
      <c r="K1106" s="24" t="s">
        <v>9</v>
      </c>
      <c r="L1106" s="9">
        <f t="shared" si="96"/>
        <v>762</v>
      </c>
      <c r="M1106" s="4" t="str">
        <f>IF(Table3[[#This Row],[Afrondingsdatum YB]]="N/A","-",Table3[[#This Row],[Afrondingsdatum YB]]-Table3[[#This Row],[StartDatum]])</f>
        <v>-</v>
      </c>
      <c r="N1106" s="4"/>
      <c r="O1106">
        <f t="shared" si="100"/>
        <v>108</v>
      </c>
      <c r="P1106">
        <f t="shared" si="99"/>
        <v>121</v>
      </c>
      <c r="Q1106">
        <f t="shared" si="99"/>
        <v>115</v>
      </c>
      <c r="R1106">
        <f t="shared" si="99"/>
        <v>97</v>
      </c>
      <c r="S1106">
        <f t="shared" si="99"/>
        <v>110</v>
      </c>
      <c r="T1106">
        <f t="shared" si="99"/>
        <v>110</v>
      </c>
      <c r="U1106">
        <f t="shared" si="99"/>
        <v>101</v>
      </c>
      <c r="V1106">
        <f t="shared" si="99"/>
        <v>46</v>
      </c>
      <c r="W1106" s="5">
        <f t="shared" si="94"/>
        <v>905</v>
      </c>
      <c r="X1106" s="9" t="str">
        <f t="shared" si="95"/>
        <v>y905</v>
      </c>
    </row>
    <row r="1107" spans="1:24" x14ac:dyDescent="0.2">
      <c r="A1107" s="9" t="s">
        <v>425</v>
      </c>
      <c r="B1107" s="9">
        <v>3</v>
      </c>
      <c r="C1107" s="25">
        <v>6</v>
      </c>
      <c r="D1107" s="25"/>
      <c r="E1107" s="23">
        <v>45369</v>
      </c>
      <c r="F1107" s="23" t="s">
        <v>283</v>
      </c>
      <c r="G1107" s="25" t="s">
        <v>302</v>
      </c>
      <c r="H1107" s="24">
        <v>1</v>
      </c>
      <c r="I1107" s="25" t="s">
        <v>207</v>
      </c>
      <c r="J1107" s="32">
        <v>45348</v>
      </c>
      <c r="K1107" s="24">
        <v>0.95</v>
      </c>
      <c r="L1107" s="9">
        <f t="shared" si="96"/>
        <v>697</v>
      </c>
      <c r="M1107" s="4">
        <f>IF(Table3[[#This Row],[Afrondingsdatum YB]]="N/A","-",Table3[[#This Row],[Afrondingsdatum YB]]-Table3[[#This Row],[StartDatum]])</f>
        <v>45348</v>
      </c>
      <c r="N1107" s="4"/>
      <c r="O1107">
        <f t="shared" si="100"/>
        <v>109</v>
      </c>
      <c r="P1107">
        <f t="shared" si="99"/>
        <v>101</v>
      </c>
      <c r="Q1107">
        <f t="shared" si="99"/>
        <v>108</v>
      </c>
      <c r="R1107">
        <f t="shared" si="99"/>
        <v>118</v>
      </c>
      <c r="S1107">
        <f t="shared" si="99"/>
        <v>105</v>
      </c>
      <c r="T1107">
        <f t="shared" si="99"/>
        <v>110</v>
      </c>
      <c r="U1107">
        <f t="shared" si="99"/>
        <v>46</v>
      </c>
      <c r="V1107">
        <f t="shared" si="99"/>
        <v>98</v>
      </c>
      <c r="W1107" s="5">
        <f t="shared" si="94"/>
        <v>872</v>
      </c>
      <c r="X1107" s="9" t="str">
        <f t="shared" si="95"/>
        <v>e872</v>
      </c>
    </row>
    <row r="1108" spans="1:24" x14ac:dyDescent="0.2">
      <c r="A1108" s="9" t="s">
        <v>425</v>
      </c>
      <c r="B1108" s="9">
        <v>3</v>
      </c>
      <c r="C1108" s="25">
        <v>6</v>
      </c>
      <c r="D1108" s="25"/>
      <c r="E1108" s="23">
        <v>45369</v>
      </c>
      <c r="F1108" s="23" t="s">
        <v>283</v>
      </c>
      <c r="G1108" s="25" t="s">
        <v>303</v>
      </c>
      <c r="H1108" s="24">
        <v>0.22</v>
      </c>
      <c r="I1108" s="25" t="s">
        <v>327</v>
      </c>
      <c r="J1108" s="32" t="s">
        <v>7</v>
      </c>
      <c r="K1108" s="24" t="s">
        <v>9</v>
      </c>
      <c r="L1108" s="9">
        <f t="shared" si="96"/>
        <v>691</v>
      </c>
      <c r="M1108" s="4" t="str">
        <f>IF(Table3[[#This Row],[Afrondingsdatum YB]]="N/A","-",Table3[[#This Row],[Afrondingsdatum YB]]-Table3[[#This Row],[StartDatum]])</f>
        <v>-</v>
      </c>
      <c r="N1108" s="4"/>
      <c r="O1108">
        <f t="shared" si="100"/>
        <v>109</v>
      </c>
      <c r="P1108">
        <f t="shared" si="99"/>
        <v>111</v>
      </c>
      <c r="Q1108">
        <f t="shared" si="99"/>
        <v>104</v>
      </c>
      <c r="R1108">
        <f t="shared" si="99"/>
        <v>105</v>
      </c>
      <c r="S1108">
        <f t="shared" si="99"/>
        <v>116</v>
      </c>
      <c r="T1108">
        <f t="shared" si="99"/>
        <v>46</v>
      </c>
      <c r="U1108">
        <f t="shared" si="99"/>
        <v>100</v>
      </c>
      <c r="V1108">
        <f t="shared" si="99"/>
        <v>97</v>
      </c>
      <c r="W1108" s="5">
        <f t="shared" si="94"/>
        <v>862</v>
      </c>
      <c r="X1108" s="9" t="str">
        <f t="shared" si="95"/>
        <v>o862</v>
      </c>
    </row>
    <row r="1109" spans="1:24" x14ac:dyDescent="0.2">
      <c r="A1109" s="9" t="s">
        <v>425</v>
      </c>
      <c r="B1109" s="9">
        <v>3</v>
      </c>
      <c r="C1109" s="25">
        <v>6</v>
      </c>
      <c r="D1109" s="25"/>
      <c r="E1109" s="23">
        <v>45369</v>
      </c>
      <c r="F1109" s="23" t="s">
        <v>280</v>
      </c>
      <c r="G1109" s="25" t="s">
        <v>304</v>
      </c>
      <c r="H1109" s="24">
        <v>0.22</v>
      </c>
      <c r="I1109" s="25" t="s">
        <v>328</v>
      </c>
      <c r="J1109" s="32" t="s">
        <v>7</v>
      </c>
      <c r="K1109" s="24" t="s">
        <v>9</v>
      </c>
      <c r="L1109" s="9">
        <f t="shared" si="96"/>
        <v>706</v>
      </c>
      <c r="M1109" s="4" t="str">
        <f>IF(Table3[[#This Row],[Afrondingsdatum YB]]="N/A","-",Table3[[#This Row],[Afrondingsdatum YB]]-Table3[[#This Row],[StartDatum]])</f>
        <v>-</v>
      </c>
      <c r="N1109" s="4"/>
      <c r="O1109">
        <f t="shared" si="100"/>
        <v>109</v>
      </c>
      <c r="P1109">
        <f t="shared" si="99"/>
        <v>111</v>
      </c>
      <c r="Q1109">
        <f t="shared" si="99"/>
        <v>108</v>
      </c>
      <c r="R1109">
        <f t="shared" si="99"/>
        <v>105</v>
      </c>
      <c r="S1109">
        <f t="shared" si="99"/>
        <v>116</v>
      </c>
      <c r="T1109">
        <f t="shared" si="99"/>
        <v>111</v>
      </c>
      <c r="U1109">
        <f t="shared" si="99"/>
        <v>46</v>
      </c>
      <c r="V1109">
        <f t="shared" si="99"/>
        <v>102</v>
      </c>
      <c r="W1109" s="5">
        <f t="shared" si="94"/>
        <v>890</v>
      </c>
      <c r="X1109" s="9" t="str">
        <f t="shared" si="95"/>
        <v>o890</v>
      </c>
    </row>
    <row r="1110" spans="1:24" x14ac:dyDescent="0.2">
      <c r="A1110" s="9" t="s">
        <v>425</v>
      </c>
      <c r="B1110" s="9">
        <v>3</v>
      </c>
      <c r="C1110" s="25">
        <v>6</v>
      </c>
      <c r="D1110" s="25"/>
      <c r="E1110" s="23">
        <v>45369</v>
      </c>
      <c r="F1110" s="23" t="s">
        <v>283</v>
      </c>
      <c r="G1110" s="25" t="s">
        <v>305</v>
      </c>
      <c r="H1110" s="24">
        <v>0.09</v>
      </c>
      <c r="I1110" s="25" t="s">
        <v>107</v>
      </c>
      <c r="J1110" s="32" t="s">
        <v>7</v>
      </c>
      <c r="K1110" s="24" t="s">
        <v>9</v>
      </c>
      <c r="L1110" s="9">
        <f t="shared" si="96"/>
        <v>726</v>
      </c>
      <c r="M1110" s="4" t="str">
        <f>IF(Table3[[#This Row],[Afrondingsdatum YB]]="N/A","-",Table3[[#This Row],[Afrondingsdatum YB]]-Table3[[#This Row],[StartDatum]])</f>
        <v>-</v>
      </c>
      <c r="N1110" s="4"/>
      <c r="O1110">
        <f t="shared" si="100"/>
        <v>77</v>
      </c>
      <c r="P1110">
        <f t="shared" si="99"/>
        <v>117</v>
      </c>
      <c r="Q1110">
        <f t="shared" si="99"/>
        <v>100</v>
      </c>
      <c r="R1110">
        <f t="shared" si="99"/>
        <v>97</v>
      </c>
      <c r="S1110">
        <f t="shared" si="99"/>
        <v>115</v>
      </c>
      <c r="T1110">
        <f t="shared" si="99"/>
        <v>115</v>
      </c>
      <c r="U1110">
        <f t="shared" si="99"/>
        <v>105</v>
      </c>
      <c r="V1110">
        <f t="shared" si="99"/>
        <v>114</v>
      </c>
      <c r="W1110" s="5">
        <f t="shared" si="94"/>
        <v>909</v>
      </c>
      <c r="X1110" s="9" t="str">
        <f t="shared" si="95"/>
        <v>u909</v>
      </c>
    </row>
    <row r="1111" spans="1:24" x14ac:dyDescent="0.2">
      <c r="A1111" s="9" t="s">
        <v>425</v>
      </c>
      <c r="B1111" s="9">
        <v>3</v>
      </c>
      <c r="C1111" s="25">
        <v>6</v>
      </c>
      <c r="D1111" s="25"/>
      <c r="E1111" s="23">
        <v>45369</v>
      </c>
      <c r="F1111" s="23" t="s">
        <v>280</v>
      </c>
      <c r="G1111" s="25" t="s">
        <v>306</v>
      </c>
      <c r="H1111" s="24">
        <v>0.14000000000000001</v>
      </c>
      <c r="I1111" s="25" t="s">
        <v>200</v>
      </c>
      <c r="J1111" s="32" t="s">
        <v>7</v>
      </c>
      <c r="K1111" s="24" t="s">
        <v>9</v>
      </c>
      <c r="L1111" s="9">
        <f t="shared" si="96"/>
        <v>684</v>
      </c>
      <c r="M1111" s="4" t="str">
        <f>IF(Table3[[#This Row],[Afrondingsdatum YB]]="N/A","-",Table3[[#This Row],[Afrondingsdatum YB]]-Table3[[#This Row],[StartDatum]])</f>
        <v>-</v>
      </c>
      <c r="N1111" s="4"/>
      <c r="O1111">
        <f t="shared" si="100"/>
        <v>110</v>
      </c>
      <c r="P1111">
        <f t="shared" si="99"/>
        <v>97</v>
      </c>
      <c r="Q1111">
        <f t="shared" si="99"/>
        <v>114</v>
      </c>
      <c r="R1111">
        <f t="shared" si="99"/>
        <v>101</v>
      </c>
      <c r="S1111">
        <f t="shared" si="99"/>
        <v>107</v>
      </c>
      <c r="T1111">
        <f t="shared" si="99"/>
        <v>46</v>
      </c>
      <c r="U1111">
        <f t="shared" si="99"/>
        <v>109</v>
      </c>
      <c r="V1111">
        <f t="shared" si="99"/>
        <v>97</v>
      </c>
      <c r="W1111" s="5">
        <f t="shared" si="94"/>
        <v>885</v>
      </c>
      <c r="X1111" s="9" t="str">
        <f t="shared" si="95"/>
        <v>a885</v>
      </c>
    </row>
    <row r="1112" spans="1:24" x14ac:dyDescent="0.2">
      <c r="A1112" s="9" t="s">
        <v>425</v>
      </c>
      <c r="B1112" s="9">
        <v>3</v>
      </c>
      <c r="C1112" s="25">
        <v>6</v>
      </c>
      <c r="D1112" s="25"/>
      <c r="E1112" s="23">
        <v>45369</v>
      </c>
      <c r="F1112" s="23" t="s">
        <v>283</v>
      </c>
      <c r="G1112" s="25" t="s">
        <v>307</v>
      </c>
      <c r="H1112" s="24">
        <v>1</v>
      </c>
      <c r="I1112" s="25" t="s">
        <v>329</v>
      </c>
      <c r="J1112" s="32">
        <v>45345</v>
      </c>
      <c r="K1112" s="24">
        <v>0.98</v>
      </c>
      <c r="L1112" s="9">
        <f t="shared" si="96"/>
        <v>695</v>
      </c>
      <c r="M1112" s="4">
        <f>IF(Table3[[#This Row],[Afrondingsdatum YB]]="N/A","-",Table3[[#This Row],[Afrondingsdatum YB]]-Table3[[#This Row],[StartDatum]])</f>
        <v>45345</v>
      </c>
      <c r="N1112" s="4"/>
      <c r="O1112">
        <f t="shared" si="100"/>
        <v>114</v>
      </c>
      <c r="P1112">
        <f t="shared" si="99"/>
        <v>101</v>
      </c>
      <c r="Q1112">
        <f t="shared" si="99"/>
        <v>109</v>
      </c>
      <c r="R1112">
        <f t="shared" si="99"/>
        <v>121</v>
      </c>
      <c r="S1112">
        <f t="shared" si="99"/>
        <v>46</v>
      </c>
      <c r="T1112">
        <f t="shared" si="99"/>
        <v>97</v>
      </c>
      <c r="U1112">
        <f t="shared" si="99"/>
        <v>107</v>
      </c>
      <c r="V1112">
        <f t="shared" si="99"/>
        <v>98</v>
      </c>
      <c r="W1112" s="5">
        <f t="shared" si="94"/>
        <v>870</v>
      </c>
      <c r="X1112" s="9" t="str">
        <f t="shared" si="95"/>
        <v>e870</v>
      </c>
    </row>
    <row r="1113" spans="1:24" x14ac:dyDescent="0.2">
      <c r="A1113" s="9" t="s">
        <v>425</v>
      </c>
      <c r="B1113" s="9">
        <v>3</v>
      </c>
      <c r="C1113" s="25">
        <v>6</v>
      </c>
      <c r="D1113" s="25"/>
      <c r="E1113" s="23">
        <v>45369</v>
      </c>
      <c r="F1113" s="23" t="s">
        <v>280</v>
      </c>
      <c r="G1113" s="25" t="s">
        <v>308</v>
      </c>
      <c r="H1113" s="24">
        <v>0</v>
      </c>
      <c r="I1113" s="25" t="s">
        <v>8</v>
      </c>
      <c r="J1113" s="32" t="s">
        <v>7</v>
      </c>
      <c r="K1113" s="24" t="s">
        <v>9</v>
      </c>
      <c r="L1113" s="9">
        <f t="shared" si="96"/>
        <v>712</v>
      </c>
      <c r="M1113" s="4" t="str">
        <f>IF(Table3[[#This Row],[Afrondingsdatum YB]]="N/A","-",Table3[[#This Row],[Afrondingsdatum YB]]-Table3[[#This Row],[StartDatum]])</f>
        <v>-</v>
      </c>
      <c r="N1113" s="4"/>
      <c r="O1113">
        <f t="shared" si="100"/>
        <v>114</v>
      </c>
      <c r="P1113">
        <f t="shared" si="99"/>
        <v>111</v>
      </c>
      <c r="Q1113">
        <f t="shared" si="99"/>
        <v>119</v>
      </c>
      <c r="R1113">
        <f t="shared" si="99"/>
        <v>97</v>
      </c>
      <c r="S1113">
        <f t="shared" si="99"/>
        <v>110</v>
      </c>
      <c r="T1113">
        <f t="shared" si="99"/>
        <v>46</v>
      </c>
      <c r="U1113">
        <f t="shared" si="99"/>
        <v>115</v>
      </c>
      <c r="V1113">
        <f t="shared" si="99"/>
        <v>97</v>
      </c>
      <c r="W1113" s="5">
        <f t="shared" si="94"/>
        <v>919</v>
      </c>
      <c r="X1113" s="9" t="str">
        <f t="shared" si="95"/>
        <v>o919</v>
      </c>
    </row>
    <row r="1114" spans="1:24" x14ac:dyDescent="0.2">
      <c r="A1114" s="9" t="s">
        <v>425</v>
      </c>
      <c r="B1114" s="9">
        <v>3</v>
      </c>
      <c r="C1114" s="25">
        <v>6</v>
      </c>
      <c r="D1114" s="25"/>
      <c r="E1114" s="23">
        <v>45369</v>
      </c>
      <c r="F1114" s="23" t="s">
        <v>283</v>
      </c>
      <c r="G1114" s="25" t="s">
        <v>309</v>
      </c>
      <c r="H1114" s="24">
        <v>0.46</v>
      </c>
      <c r="I1114" s="25" t="s">
        <v>275</v>
      </c>
      <c r="J1114" s="32" t="s">
        <v>7</v>
      </c>
      <c r="K1114" s="24" t="s">
        <v>9</v>
      </c>
      <c r="L1114" s="9">
        <f t="shared" si="96"/>
        <v>736</v>
      </c>
      <c r="M1114" s="4" t="str">
        <f>IF(Table3[[#This Row],[Afrondingsdatum YB]]="N/A","-",Table3[[#This Row],[Afrondingsdatum YB]]-Table3[[#This Row],[StartDatum]])</f>
        <v>-</v>
      </c>
      <c r="N1114" s="4"/>
      <c r="O1114">
        <f t="shared" si="100"/>
        <v>115</v>
      </c>
      <c r="P1114">
        <f t="shared" si="99"/>
        <v>97</v>
      </c>
      <c r="Q1114">
        <f t="shared" si="99"/>
        <v>121</v>
      </c>
      <c r="R1114">
        <f t="shared" si="99"/>
        <v>102</v>
      </c>
      <c r="S1114">
        <f t="shared" si="99"/>
        <v>101</v>
      </c>
      <c r="T1114">
        <f t="shared" si="99"/>
        <v>100</v>
      </c>
      <c r="U1114">
        <f t="shared" si="99"/>
        <v>100</v>
      </c>
      <c r="V1114">
        <f t="shared" si="99"/>
        <v>105</v>
      </c>
      <c r="W1114" s="5">
        <f t="shared" si="94"/>
        <v>958</v>
      </c>
      <c r="X1114" s="9" t="str">
        <f t="shared" si="95"/>
        <v>a958</v>
      </c>
    </row>
    <row r="1115" spans="1:24" x14ac:dyDescent="0.2">
      <c r="A1115" s="9" t="s">
        <v>425</v>
      </c>
      <c r="B1115" s="9">
        <v>3</v>
      </c>
      <c r="C1115" s="25">
        <v>6</v>
      </c>
      <c r="D1115" s="25"/>
      <c r="E1115" s="23">
        <v>45369</v>
      </c>
      <c r="F1115" s="23" t="s">
        <v>283</v>
      </c>
      <c r="G1115" s="25" t="s">
        <v>310</v>
      </c>
      <c r="H1115" s="24">
        <v>0.39</v>
      </c>
      <c r="I1115" s="25" t="s">
        <v>330</v>
      </c>
      <c r="J1115" s="32" t="s">
        <v>7</v>
      </c>
      <c r="K1115" s="24" t="s">
        <v>9</v>
      </c>
      <c r="L1115" s="9">
        <f t="shared" si="96"/>
        <v>724</v>
      </c>
      <c r="M1115" s="4" t="str">
        <f>IF(Table3[[#This Row],[Afrondingsdatum YB]]="N/A","-",Table3[[#This Row],[Afrondingsdatum YB]]-Table3[[#This Row],[StartDatum]])</f>
        <v>-</v>
      </c>
      <c r="N1115" s="4"/>
      <c r="O1115">
        <f t="shared" si="100"/>
        <v>116</v>
      </c>
      <c r="P1115">
        <f t="shared" si="99"/>
        <v>111</v>
      </c>
      <c r="Q1115">
        <f t="shared" si="99"/>
        <v>109</v>
      </c>
      <c r="R1115">
        <f t="shared" si="99"/>
        <v>109</v>
      </c>
      <c r="S1115">
        <f t="shared" si="99"/>
        <v>121</v>
      </c>
      <c r="T1115">
        <f t="shared" si="99"/>
        <v>46</v>
      </c>
      <c r="U1115">
        <f t="shared" si="99"/>
        <v>112</v>
      </c>
      <c r="V1115">
        <f t="shared" si="99"/>
        <v>111</v>
      </c>
      <c r="W1115" s="5">
        <f t="shared" si="94"/>
        <v>916</v>
      </c>
      <c r="X1115" s="9" t="str">
        <f t="shared" si="95"/>
        <v>o916</v>
      </c>
    </row>
    <row r="1116" spans="1:24" x14ac:dyDescent="0.2">
      <c r="A1116" s="9" t="s">
        <v>425</v>
      </c>
      <c r="B1116" s="9">
        <v>3</v>
      </c>
      <c r="C1116" s="25">
        <v>6</v>
      </c>
      <c r="D1116" s="25"/>
      <c r="E1116" s="23">
        <v>45369</v>
      </c>
      <c r="F1116" s="23" t="s">
        <v>280</v>
      </c>
      <c r="G1116" s="25" t="s">
        <v>322</v>
      </c>
      <c r="H1116" s="24">
        <v>0</v>
      </c>
      <c r="I1116" s="25" t="s">
        <v>8</v>
      </c>
      <c r="J1116" s="32" t="s">
        <v>7</v>
      </c>
      <c r="K1116" s="24" t="s">
        <v>9</v>
      </c>
      <c r="L1116" s="9">
        <f t="shared" si="96"/>
        <v>728</v>
      </c>
      <c r="M1116" s="4" t="str">
        <f>IF(Table3[[#This Row],[Afrondingsdatum YB]]="N/A","-",Table3[[#This Row],[Afrondingsdatum YB]]-Table3[[#This Row],[StartDatum]])</f>
        <v>-</v>
      </c>
      <c r="N1116" s="4"/>
      <c r="O1116">
        <f t="shared" si="100"/>
        <v>120</v>
      </c>
      <c r="P1116">
        <f t="shared" si="99"/>
        <v>117</v>
      </c>
      <c r="Q1116">
        <f t="shared" si="99"/>
        <v>121</v>
      </c>
      <c r="R1116">
        <f t="shared" si="99"/>
        <v>117</v>
      </c>
      <c r="S1116">
        <f t="shared" si="99"/>
        <v>97</v>
      </c>
      <c r="T1116">
        <f t="shared" si="99"/>
        <v>110</v>
      </c>
      <c r="U1116">
        <f t="shared" si="99"/>
        <v>46</v>
      </c>
      <c r="V1116">
        <f t="shared" si="99"/>
        <v>121</v>
      </c>
      <c r="W1116" s="5">
        <f t="shared" si="94"/>
        <v>945</v>
      </c>
      <c r="X1116" s="9" t="str">
        <f t="shared" si="95"/>
        <v>u945</v>
      </c>
    </row>
    <row r="1117" spans="1:24" x14ac:dyDescent="0.2">
      <c r="A1117" s="9" t="s">
        <v>425</v>
      </c>
      <c r="B1117" s="9">
        <v>3</v>
      </c>
      <c r="C1117" s="25">
        <v>6</v>
      </c>
      <c r="D1117" s="25"/>
      <c r="E1117" s="23">
        <v>45369</v>
      </c>
      <c r="F1117" s="23" t="s">
        <v>283</v>
      </c>
      <c r="G1117" s="25" t="s">
        <v>311</v>
      </c>
      <c r="H1117" s="24">
        <v>1</v>
      </c>
      <c r="I1117" s="25" t="s">
        <v>158</v>
      </c>
      <c r="J1117" s="32">
        <v>45368</v>
      </c>
      <c r="K1117" s="24">
        <v>0.85</v>
      </c>
      <c r="L1117" s="9">
        <f t="shared" si="96"/>
        <v>758</v>
      </c>
      <c r="M1117" s="4">
        <f>IF(Table3[[#This Row],[Afrondingsdatum YB]]="N/A","-",Table3[[#This Row],[Afrondingsdatum YB]]-Table3[[#This Row],[StartDatum]])</f>
        <v>45368</v>
      </c>
      <c r="N1117" s="4"/>
      <c r="O1117">
        <f t="shared" si="100"/>
        <v>121</v>
      </c>
      <c r="P1117">
        <f t="shared" si="99"/>
        <v>97</v>
      </c>
      <c r="Q1117">
        <f t="shared" si="99"/>
        <v>115</v>
      </c>
      <c r="R1117">
        <f t="shared" si="99"/>
        <v>109</v>
      </c>
      <c r="S1117">
        <f t="shared" si="99"/>
        <v>105</v>
      </c>
      <c r="T1117">
        <f t="shared" si="99"/>
        <v>110</v>
      </c>
      <c r="U1117">
        <f t="shared" si="99"/>
        <v>101</v>
      </c>
      <c r="V1117">
        <f t="shared" si="99"/>
        <v>46</v>
      </c>
      <c r="W1117" s="5">
        <f t="shared" si="94"/>
        <v>904</v>
      </c>
      <c r="X1117" s="9" t="str">
        <f t="shared" si="95"/>
        <v>a904</v>
      </c>
    </row>
    <row r="1118" spans="1:24" x14ac:dyDescent="0.2">
      <c r="A1118" s="9" t="s">
        <v>425</v>
      </c>
      <c r="B1118" s="9">
        <v>3</v>
      </c>
      <c r="C1118" s="25">
        <v>6</v>
      </c>
      <c r="D1118" s="25"/>
      <c r="E1118" s="23">
        <v>45369</v>
      </c>
      <c r="F1118" s="23" t="s">
        <v>280</v>
      </c>
      <c r="G1118" s="25" t="s">
        <v>312</v>
      </c>
      <c r="H1118" s="24">
        <v>0</v>
      </c>
      <c r="I1118" s="25" t="s">
        <v>8</v>
      </c>
      <c r="J1118" s="32" t="s">
        <v>7</v>
      </c>
      <c r="K1118" s="24" t="s">
        <v>9</v>
      </c>
      <c r="L1118" s="9">
        <f t="shared" si="96"/>
        <v>790</v>
      </c>
      <c r="M1118" s="4" t="str">
        <f>IF(Table3[[#This Row],[Afrondingsdatum YB]]="N/A","-",Table3[[#This Row],[Afrondingsdatum YB]]-Table3[[#This Row],[StartDatum]])</f>
        <v>-</v>
      </c>
      <c r="N1118" s="4"/>
      <c r="O1118">
        <f t="shared" si="100"/>
        <v>121</v>
      </c>
      <c r="P1118">
        <f t="shared" si="99"/>
        <v>111</v>
      </c>
      <c r="Q1118">
        <f t="shared" si="99"/>
        <v>117</v>
      </c>
      <c r="R1118">
        <f t="shared" si="99"/>
        <v>115</v>
      </c>
      <c r="S1118">
        <f t="shared" si="99"/>
        <v>115</v>
      </c>
      <c r="T1118">
        <f t="shared" si="99"/>
        <v>114</v>
      </c>
      <c r="U1118">
        <f t="shared" si="99"/>
        <v>97</v>
      </c>
      <c r="V1118">
        <f t="shared" si="99"/>
        <v>46</v>
      </c>
      <c r="W1118" s="5">
        <f t="shared" si="94"/>
        <v>928</v>
      </c>
      <c r="X1118" s="9" t="str">
        <f t="shared" si="95"/>
        <v>o928</v>
      </c>
    </row>
    <row r="1119" spans="1:24" x14ac:dyDescent="0.2">
      <c r="A1119" s="9" t="s">
        <v>425</v>
      </c>
      <c r="B1119" s="9">
        <v>3</v>
      </c>
      <c r="C1119" s="25">
        <v>6</v>
      </c>
      <c r="D1119" s="25"/>
      <c r="E1119" s="23">
        <v>45369</v>
      </c>
      <c r="F1119" s="23" t="s">
        <v>280</v>
      </c>
      <c r="G1119" s="25" t="s">
        <v>318</v>
      </c>
      <c r="H1119" s="24">
        <v>0.13</v>
      </c>
      <c r="I1119" s="25" t="s">
        <v>316</v>
      </c>
      <c r="J1119" s="32" t="s">
        <v>7</v>
      </c>
      <c r="K1119" s="24" t="s">
        <v>9</v>
      </c>
      <c r="L1119" s="9">
        <f t="shared" si="96"/>
        <v>672</v>
      </c>
      <c r="M1119" s="4" t="str">
        <f>IF(Table3[[#This Row],[Afrondingsdatum YB]]="N/A","-",Table3[[#This Row],[Afrondingsdatum YB]]-Table3[[#This Row],[StartDatum]])</f>
        <v>-</v>
      </c>
      <c r="N1119" s="4"/>
      <c r="O1119">
        <f t="shared" si="100"/>
        <v>115</v>
      </c>
      <c r="P1119">
        <f t="shared" si="99"/>
        <v>101</v>
      </c>
      <c r="Q1119">
        <f t="shared" si="99"/>
        <v>98</v>
      </c>
      <c r="R1119">
        <f t="shared" si="99"/>
        <v>97</v>
      </c>
      <c r="S1119">
        <f t="shared" si="99"/>
        <v>115</v>
      </c>
      <c r="T1119">
        <f t="shared" si="99"/>
        <v>46</v>
      </c>
      <c r="U1119">
        <f t="shared" si="99"/>
        <v>100</v>
      </c>
      <c r="V1119">
        <f t="shared" si="99"/>
        <v>101</v>
      </c>
      <c r="W1119" s="5">
        <f t="shared" si="94"/>
        <v>846</v>
      </c>
      <c r="X1119" s="9" t="str">
        <f t="shared" si="95"/>
        <v>e846</v>
      </c>
    </row>
    <row r="1120" spans="1:24" x14ac:dyDescent="0.2">
      <c r="A1120" s="9" t="s">
        <v>425</v>
      </c>
      <c r="B1120" s="9">
        <v>3</v>
      </c>
      <c r="C1120" s="25">
        <v>6</v>
      </c>
      <c r="D1120" s="25"/>
      <c r="E1120" s="23">
        <v>45369</v>
      </c>
      <c r="F1120" s="23" t="s">
        <v>283</v>
      </c>
      <c r="G1120" s="25" t="s">
        <v>323</v>
      </c>
      <c r="H1120" s="24">
        <v>0</v>
      </c>
      <c r="I1120" s="25" t="s">
        <v>8</v>
      </c>
      <c r="J1120" s="32" t="s">
        <v>7</v>
      </c>
      <c r="K1120" s="24" t="s">
        <v>9</v>
      </c>
      <c r="L1120" s="9">
        <f t="shared" si="96"/>
        <v>685</v>
      </c>
      <c r="M1120" s="4" t="str">
        <f>IF(Table3[[#This Row],[Afrondingsdatum YB]]="N/A","-",Table3[[#This Row],[Afrondingsdatum YB]]-Table3[[#This Row],[StartDatum]])</f>
        <v>-</v>
      </c>
      <c r="N1120" s="4"/>
      <c r="O1120">
        <f t="shared" si="100"/>
        <v>122</v>
      </c>
      <c r="P1120">
        <f t="shared" si="99"/>
        <v>105</v>
      </c>
      <c r="Q1120">
        <f t="shared" si="99"/>
        <v>97</v>
      </c>
      <c r="R1120">
        <f t="shared" si="99"/>
        <v>46</v>
      </c>
      <c r="S1120">
        <f t="shared" si="99"/>
        <v>100</v>
      </c>
      <c r="T1120">
        <f t="shared" si="99"/>
        <v>105</v>
      </c>
      <c r="U1120">
        <f t="shared" si="99"/>
        <v>110</v>
      </c>
      <c r="V1120">
        <f t="shared" si="99"/>
        <v>109</v>
      </c>
      <c r="W1120" s="5">
        <f t="shared" si="94"/>
        <v>901</v>
      </c>
      <c r="X1120" s="9" t="str">
        <f t="shared" si="95"/>
        <v>i901</v>
      </c>
    </row>
    <row r="1121" spans="1:24" x14ac:dyDescent="0.2">
      <c r="A1121" s="9" t="s">
        <v>425</v>
      </c>
      <c r="B1121" s="9">
        <v>3</v>
      </c>
      <c r="C1121" s="25">
        <v>7</v>
      </c>
      <c r="D1121" s="25"/>
      <c r="E1121" s="23">
        <v>45376</v>
      </c>
      <c r="F1121" s="23" t="s">
        <v>280</v>
      </c>
      <c r="G1121" s="25" t="s">
        <v>281</v>
      </c>
      <c r="H1121" s="24">
        <v>1</v>
      </c>
      <c r="I1121" s="25" t="s">
        <v>331</v>
      </c>
      <c r="J1121" s="32">
        <v>45373</v>
      </c>
      <c r="K1121" s="24">
        <v>0.8</v>
      </c>
      <c r="L1121" s="9">
        <f t="shared" si="96"/>
        <v>717</v>
      </c>
      <c r="M1121" s="4">
        <f>IF(Table3[[#This Row],[Afrondingsdatum YB]]="N/A","-",Table3[[#This Row],[Afrondingsdatum YB]]-Table3[[#This Row],[StartDatum]])</f>
        <v>45373</v>
      </c>
      <c r="N1121" s="4"/>
      <c r="O1121">
        <f t="shared" si="100"/>
        <v>97</v>
      </c>
      <c r="P1121">
        <f t="shared" si="99"/>
        <v>98</v>
      </c>
      <c r="Q1121">
        <f t="shared" si="99"/>
        <v>100</v>
      </c>
      <c r="R1121">
        <f t="shared" si="99"/>
        <v>101</v>
      </c>
      <c r="S1121">
        <f t="shared" si="99"/>
        <v>108</v>
      </c>
      <c r="T1121">
        <f t="shared" si="99"/>
        <v>105</v>
      </c>
      <c r="U1121">
        <f t="shared" si="99"/>
        <v>108</v>
      </c>
      <c r="V1121">
        <f t="shared" si="99"/>
        <v>97</v>
      </c>
      <c r="W1121" s="5">
        <f t="shared" si="94"/>
        <v>889</v>
      </c>
      <c r="X1121" s="9" t="str">
        <f t="shared" si="95"/>
        <v>b889</v>
      </c>
    </row>
    <row r="1122" spans="1:24" x14ac:dyDescent="0.2">
      <c r="A1122" s="9" t="s">
        <v>425</v>
      </c>
      <c r="B1122" s="9">
        <v>3</v>
      </c>
      <c r="C1122" s="25">
        <v>7</v>
      </c>
      <c r="D1122" s="25"/>
      <c r="E1122" s="23">
        <v>45376</v>
      </c>
      <c r="F1122" s="23" t="s">
        <v>280</v>
      </c>
      <c r="G1122" s="25" t="s">
        <v>282</v>
      </c>
      <c r="H1122" s="24">
        <v>0.02</v>
      </c>
      <c r="I1122" s="25" t="s">
        <v>325</v>
      </c>
      <c r="J1122" s="32" t="s">
        <v>7</v>
      </c>
      <c r="K1122" s="24" t="s">
        <v>9</v>
      </c>
      <c r="L1122" s="9">
        <f t="shared" si="96"/>
        <v>675</v>
      </c>
      <c r="M1122" s="4" t="str">
        <f>IF(Table3[[#This Row],[Afrondingsdatum YB]]="N/A","-",Table3[[#This Row],[Afrondingsdatum YB]]-Table3[[#This Row],[StartDatum]])</f>
        <v>-</v>
      </c>
      <c r="N1122" s="4"/>
      <c r="O1122">
        <f t="shared" si="100"/>
        <v>97</v>
      </c>
      <c r="P1122">
        <f t="shared" si="99"/>
        <v>104</v>
      </c>
      <c r="Q1122">
        <f t="shared" si="99"/>
        <v>109</v>
      </c>
      <c r="R1122">
        <f t="shared" si="99"/>
        <v>97</v>
      </c>
      <c r="S1122">
        <f t="shared" si="99"/>
        <v>100</v>
      </c>
      <c r="T1122">
        <f t="shared" si="99"/>
        <v>46</v>
      </c>
      <c r="U1122">
        <f t="shared" si="99"/>
        <v>122</v>
      </c>
      <c r="V1122">
        <f t="shared" si="99"/>
        <v>97</v>
      </c>
      <c r="W1122" s="5">
        <f t="shared" si="94"/>
        <v>865</v>
      </c>
      <c r="X1122" s="9" t="str">
        <f t="shared" si="95"/>
        <v>h865</v>
      </c>
    </row>
    <row r="1123" spans="1:24" x14ac:dyDescent="0.2">
      <c r="A1123" s="9" t="s">
        <v>425</v>
      </c>
      <c r="B1123" s="9">
        <v>3</v>
      </c>
      <c r="C1123" s="25">
        <v>7</v>
      </c>
      <c r="D1123" s="25"/>
      <c r="E1123" s="23">
        <v>45376</v>
      </c>
      <c r="F1123" s="23" t="s">
        <v>283</v>
      </c>
      <c r="G1123" s="25" t="s">
        <v>284</v>
      </c>
      <c r="H1123" s="24">
        <v>1</v>
      </c>
      <c r="I1123" s="25" t="s">
        <v>208</v>
      </c>
      <c r="J1123" s="32">
        <v>45354</v>
      </c>
      <c r="K1123" s="24">
        <v>0.8</v>
      </c>
      <c r="L1123" s="9">
        <f t="shared" si="96"/>
        <v>656</v>
      </c>
      <c r="M1123" s="4">
        <f>IF(Table3[[#This Row],[Afrondingsdatum YB]]="N/A","-",Table3[[#This Row],[Afrondingsdatum YB]]-Table3[[#This Row],[StartDatum]])</f>
        <v>45354</v>
      </c>
      <c r="N1123" s="4"/>
      <c r="O1123">
        <f t="shared" si="100"/>
        <v>65</v>
      </c>
      <c r="P1123">
        <f t="shared" si="99"/>
        <v>104</v>
      </c>
      <c r="Q1123">
        <f t="shared" si="99"/>
        <v>109</v>
      </c>
      <c r="R1123">
        <f t="shared" si="99"/>
        <v>101</v>
      </c>
      <c r="S1123">
        <f t="shared" si="99"/>
        <v>116</v>
      </c>
      <c r="T1123">
        <f t="shared" si="99"/>
        <v>46</v>
      </c>
      <c r="U1123">
        <f t="shared" si="99"/>
        <v>115</v>
      </c>
      <c r="V1123">
        <f t="shared" si="99"/>
        <v>101</v>
      </c>
      <c r="W1123" s="5">
        <f t="shared" si="94"/>
        <v>847</v>
      </c>
      <c r="X1123" s="9" t="str">
        <f t="shared" si="95"/>
        <v>h847</v>
      </c>
    </row>
    <row r="1124" spans="1:24" x14ac:dyDescent="0.2">
      <c r="A1124" s="9" t="s">
        <v>425</v>
      </c>
      <c r="B1124" s="9">
        <v>3</v>
      </c>
      <c r="C1124" s="25">
        <v>7</v>
      </c>
      <c r="D1124" s="25"/>
      <c r="E1124" s="23">
        <v>45376</v>
      </c>
      <c r="F1124" s="23" t="s">
        <v>283</v>
      </c>
      <c r="G1124" s="25" t="s">
        <v>285</v>
      </c>
      <c r="H1124" s="24">
        <v>0.19</v>
      </c>
      <c r="I1124" s="25" t="s">
        <v>332</v>
      </c>
      <c r="J1124" s="32" t="s">
        <v>7</v>
      </c>
      <c r="K1124" s="24" t="s">
        <v>9</v>
      </c>
      <c r="L1124" s="9">
        <f t="shared" si="96"/>
        <v>747</v>
      </c>
      <c r="M1124" s="4" t="str">
        <f>IF(Table3[[#This Row],[Afrondingsdatum YB]]="N/A","-",Table3[[#This Row],[Afrondingsdatum YB]]-Table3[[#This Row],[StartDatum]])</f>
        <v>-</v>
      </c>
      <c r="N1124" s="4"/>
      <c r="O1124">
        <f t="shared" si="100"/>
        <v>97</v>
      </c>
      <c r="P1124">
        <f t="shared" si="99"/>
        <v>110</v>
      </c>
      <c r="Q1124">
        <f t="shared" si="99"/>
        <v>97</v>
      </c>
      <c r="R1124">
        <f t="shared" si="99"/>
        <v>115</v>
      </c>
      <c r="S1124">
        <f t="shared" si="99"/>
        <v>116</v>
      </c>
      <c r="T1124">
        <f t="shared" si="99"/>
        <v>97</v>
      </c>
      <c r="U1124">
        <f t="shared" si="99"/>
        <v>115</v>
      </c>
      <c r="V1124">
        <f t="shared" si="99"/>
        <v>105</v>
      </c>
      <c r="W1124" s="5">
        <f t="shared" si="94"/>
        <v>905</v>
      </c>
      <c r="X1124" s="9" t="str">
        <f t="shared" si="95"/>
        <v>n905</v>
      </c>
    </row>
    <row r="1125" spans="1:24" x14ac:dyDescent="0.2">
      <c r="A1125" s="9" t="s">
        <v>425</v>
      </c>
      <c r="B1125" s="9">
        <v>3</v>
      </c>
      <c r="C1125" s="25">
        <v>7</v>
      </c>
      <c r="D1125" s="25"/>
      <c r="E1125" s="23">
        <v>45377</v>
      </c>
      <c r="F1125" s="23" t="s">
        <v>283</v>
      </c>
      <c r="G1125" s="25" t="s">
        <v>333</v>
      </c>
      <c r="H1125" s="24">
        <v>0.12</v>
      </c>
      <c r="I1125" s="25" t="s">
        <v>334</v>
      </c>
      <c r="J1125" s="32" t="s">
        <v>7</v>
      </c>
      <c r="K1125" s="24" t="s">
        <v>9</v>
      </c>
      <c r="L1125" s="9">
        <f t="shared" si="96"/>
        <v>675</v>
      </c>
      <c r="M1125" s="4" t="str">
        <f>IF(Table3[[#This Row],[Afrondingsdatum YB]]="N/A","-",Table3[[#This Row],[Afrondingsdatum YB]]-Table3[[#This Row],[StartDatum]])</f>
        <v>-</v>
      </c>
      <c r="N1125" s="4"/>
      <c r="O1125">
        <f t="shared" si="100"/>
        <v>97</v>
      </c>
      <c r="P1125">
        <f t="shared" si="100"/>
        <v>115</v>
      </c>
      <c r="Q1125">
        <f t="shared" si="100"/>
        <v>104</v>
      </c>
      <c r="R1125">
        <f t="shared" si="100"/>
        <v>114</v>
      </c>
      <c r="S1125">
        <f t="shared" si="100"/>
        <v>97</v>
      </c>
      <c r="T1125">
        <f t="shared" si="100"/>
        <v>102</v>
      </c>
      <c r="U1125">
        <f t="shared" si="100"/>
        <v>46</v>
      </c>
      <c r="V1125">
        <f t="shared" si="100"/>
        <v>104</v>
      </c>
      <c r="W1125" s="5">
        <f t="shared" si="94"/>
        <v>844</v>
      </c>
      <c r="X1125" s="9" t="str">
        <f t="shared" si="95"/>
        <v>s844</v>
      </c>
    </row>
    <row r="1126" spans="1:24" x14ac:dyDescent="0.2">
      <c r="A1126" s="9" t="s">
        <v>425</v>
      </c>
      <c r="B1126" s="9">
        <v>3</v>
      </c>
      <c r="C1126" s="25">
        <v>7</v>
      </c>
      <c r="D1126" s="25"/>
      <c r="E1126" s="23">
        <v>45376</v>
      </c>
      <c r="F1126" s="23" t="s">
        <v>283</v>
      </c>
      <c r="G1126" s="25" t="s">
        <v>286</v>
      </c>
      <c r="H1126" s="24">
        <v>1</v>
      </c>
      <c r="I1126" s="25" t="s">
        <v>238</v>
      </c>
      <c r="J1126" s="32">
        <v>45352</v>
      </c>
      <c r="K1126" s="24">
        <v>0.85</v>
      </c>
      <c r="L1126" s="9">
        <f t="shared" si="96"/>
        <v>645</v>
      </c>
      <c r="M1126" s="4">
        <f>IF(Table3[[#This Row],[Afrondingsdatum YB]]="N/A","-",Table3[[#This Row],[Afrondingsdatum YB]]-Table3[[#This Row],[StartDatum]])</f>
        <v>45352</v>
      </c>
      <c r="N1126" s="4"/>
      <c r="O1126">
        <f t="shared" si="100"/>
        <v>66</v>
      </c>
      <c r="P1126">
        <f t="shared" si="100"/>
        <v>97</v>
      </c>
      <c r="Q1126">
        <f t="shared" si="100"/>
        <v>115</v>
      </c>
      <c r="R1126">
        <f t="shared" si="100"/>
        <v>46</v>
      </c>
      <c r="S1126">
        <f t="shared" si="100"/>
        <v>107</v>
      </c>
      <c r="T1126">
        <f t="shared" si="100"/>
        <v>105</v>
      </c>
      <c r="U1126">
        <f t="shared" si="100"/>
        <v>109</v>
      </c>
      <c r="V1126">
        <f t="shared" si="100"/>
        <v>109</v>
      </c>
      <c r="W1126" s="5">
        <f t="shared" si="94"/>
        <v>901</v>
      </c>
      <c r="X1126" s="9" t="str">
        <f t="shared" si="95"/>
        <v>a901</v>
      </c>
    </row>
    <row r="1127" spans="1:24" x14ac:dyDescent="0.2">
      <c r="A1127" s="9" t="s">
        <v>425</v>
      </c>
      <c r="B1127" s="9">
        <v>3</v>
      </c>
      <c r="C1127" s="25">
        <v>7</v>
      </c>
      <c r="D1127" s="25"/>
      <c r="E1127" s="23">
        <v>45376</v>
      </c>
      <c r="F1127" s="23" t="s">
        <v>280</v>
      </c>
      <c r="G1127" s="25" t="s">
        <v>287</v>
      </c>
      <c r="H1127" s="24">
        <v>0.7</v>
      </c>
      <c r="I1127" s="25" t="s">
        <v>335</v>
      </c>
      <c r="J1127" s="32" t="s">
        <v>7</v>
      </c>
      <c r="K1127" s="24" t="s">
        <v>9</v>
      </c>
      <c r="L1127" s="9">
        <f t="shared" si="96"/>
        <v>666</v>
      </c>
      <c r="M1127" s="4" t="str">
        <f>IF(Table3[[#This Row],[Afrondingsdatum YB]]="N/A","-",Table3[[#This Row],[Afrondingsdatum YB]]-Table3[[#This Row],[StartDatum]])</f>
        <v>-</v>
      </c>
      <c r="N1127" s="4"/>
      <c r="O1127">
        <f t="shared" si="100"/>
        <v>100</v>
      </c>
      <c r="P1127">
        <f t="shared" si="100"/>
        <v>106</v>
      </c>
      <c r="Q1127">
        <f t="shared" si="100"/>
        <v>97</v>
      </c>
      <c r="R1127">
        <f t="shared" si="100"/>
        <v>98</v>
      </c>
      <c r="S1127">
        <f t="shared" si="100"/>
        <v>105</v>
      </c>
      <c r="T1127">
        <f t="shared" si="100"/>
        <v>114</v>
      </c>
      <c r="U1127">
        <f t="shared" si="100"/>
        <v>46</v>
      </c>
      <c r="V1127">
        <f t="shared" si="100"/>
        <v>104</v>
      </c>
      <c r="W1127" s="5">
        <f t="shared" ref="W1127:W1190" si="101">ROUND((O1127*O$1+P1127/P$1+Q1127*Q$1+R1127/R$1)+SUM(S1127:V1127),0)</f>
        <v>838</v>
      </c>
      <c r="X1127" s="9" t="str">
        <f t="shared" ref="X1127:X1190" si="102">MID(G1127,2,1)&amp;TEXT(W1127,"###")</f>
        <v>j838</v>
      </c>
    </row>
    <row r="1128" spans="1:24" x14ac:dyDescent="0.2">
      <c r="A1128" s="9" t="s">
        <v>425</v>
      </c>
      <c r="B1128" s="9">
        <v>3</v>
      </c>
      <c r="C1128" s="25">
        <v>7</v>
      </c>
      <c r="D1128" s="25"/>
      <c r="E1128" s="23">
        <v>45376</v>
      </c>
      <c r="F1128" s="23" t="s">
        <v>280</v>
      </c>
      <c r="G1128" s="25" t="s">
        <v>288</v>
      </c>
      <c r="H1128" s="24">
        <v>1</v>
      </c>
      <c r="I1128" s="25" t="s">
        <v>330</v>
      </c>
      <c r="J1128" s="32">
        <v>45373</v>
      </c>
      <c r="K1128" s="24">
        <v>0.8</v>
      </c>
      <c r="L1128" s="9">
        <f t="shared" si="96"/>
        <v>682</v>
      </c>
      <c r="M1128" s="4">
        <f>IF(Table3[[#This Row],[Afrondingsdatum YB]]="N/A","-",Table3[[#This Row],[Afrondingsdatum YB]]-Table3[[#This Row],[StartDatum]])</f>
        <v>45373</v>
      </c>
      <c r="N1128" s="4"/>
      <c r="O1128">
        <f t="shared" si="100"/>
        <v>103</v>
      </c>
      <c r="P1128">
        <f t="shared" si="100"/>
        <v>108</v>
      </c>
      <c r="Q1128">
        <f t="shared" si="100"/>
        <v>101</v>
      </c>
      <c r="R1128">
        <f t="shared" si="100"/>
        <v>110</v>
      </c>
      <c r="S1128">
        <f t="shared" si="100"/>
        <v>110</v>
      </c>
      <c r="T1128">
        <f t="shared" si="100"/>
        <v>46</v>
      </c>
      <c r="U1128">
        <f t="shared" si="100"/>
        <v>104</v>
      </c>
      <c r="V1128">
        <f t="shared" si="100"/>
        <v>101</v>
      </c>
      <c r="W1128" s="5">
        <f t="shared" si="101"/>
        <v>849</v>
      </c>
      <c r="X1128" s="9" t="str">
        <f t="shared" si="102"/>
        <v>l849</v>
      </c>
    </row>
    <row r="1129" spans="1:24" x14ac:dyDescent="0.2">
      <c r="A1129" s="9" t="s">
        <v>425</v>
      </c>
      <c r="B1129" s="9">
        <v>3</v>
      </c>
      <c r="C1129" s="25">
        <v>7</v>
      </c>
      <c r="D1129" s="25"/>
      <c r="E1129" s="23">
        <v>45376</v>
      </c>
      <c r="F1129" s="23" t="s">
        <v>283</v>
      </c>
      <c r="G1129" s="25" t="s">
        <v>289</v>
      </c>
      <c r="H1129" s="24">
        <v>0.09</v>
      </c>
      <c r="I1129" s="25" t="s">
        <v>336</v>
      </c>
      <c r="J1129" s="32" t="s">
        <v>7</v>
      </c>
      <c r="K1129" s="24" t="s">
        <v>9</v>
      </c>
      <c r="L1129" s="9">
        <f t="shared" si="96"/>
        <v>675</v>
      </c>
      <c r="M1129" s="4" t="str">
        <f>IF(Table3[[#This Row],[Afrondingsdatum YB]]="N/A","-",Table3[[#This Row],[Afrondingsdatum YB]]-Table3[[#This Row],[StartDatum]])</f>
        <v>-</v>
      </c>
      <c r="N1129" s="4"/>
      <c r="O1129">
        <f t="shared" si="100"/>
        <v>103</v>
      </c>
      <c r="P1129">
        <f t="shared" si="100"/>
        <v>114</v>
      </c>
      <c r="Q1129">
        <f t="shared" si="100"/>
        <v>97</v>
      </c>
      <c r="R1129">
        <f t="shared" si="100"/>
        <v>99</v>
      </c>
      <c r="S1129">
        <f t="shared" si="100"/>
        <v>101</v>
      </c>
      <c r="T1129">
        <f t="shared" si="100"/>
        <v>46</v>
      </c>
      <c r="U1129">
        <f t="shared" si="100"/>
        <v>115</v>
      </c>
      <c r="V1129">
        <f t="shared" si="100"/>
        <v>101</v>
      </c>
      <c r="W1129" s="5">
        <f t="shared" si="101"/>
        <v>839</v>
      </c>
      <c r="X1129" s="9" t="str">
        <f t="shared" si="102"/>
        <v>r839</v>
      </c>
    </row>
    <row r="1130" spans="1:24" x14ac:dyDescent="0.2">
      <c r="A1130" s="9" t="s">
        <v>425</v>
      </c>
      <c r="B1130" s="9">
        <v>3</v>
      </c>
      <c r="C1130" s="25">
        <v>7</v>
      </c>
      <c r="D1130" s="25"/>
      <c r="E1130" s="23">
        <v>45376</v>
      </c>
      <c r="F1130" s="23" t="s">
        <v>283</v>
      </c>
      <c r="G1130" s="25" t="s">
        <v>290</v>
      </c>
      <c r="H1130" s="24">
        <v>1</v>
      </c>
      <c r="I1130" s="25" t="s">
        <v>214</v>
      </c>
      <c r="J1130" s="32">
        <v>45358</v>
      </c>
      <c r="K1130" s="24">
        <v>0.78</v>
      </c>
      <c r="L1130" s="9">
        <f t="shared" si="96"/>
        <v>677</v>
      </c>
      <c r="M1130" s="4">
        <f>IF(Table3[[#This Row],[Afrondingsdatum YB]]="N/A","-",Table3[[#This Row],[Afrondingsdatum YB]]-Table3[[#This Row],[StartDatum]])</f>
        <v>45358</v>
      </c>
      <c r="N1130" s="4"/>
      <c r="O1130">
        <f t="shared" si="100"/>
        <v>105</v>
      </c>
      <c r="P1130">
        <f t="shared" si="100"/>
        <v>108</v>
      </c>
      <c r="Q1130">
        <f t="shared" si="100"/>
        <v>105</v>
      </c>
      <c r="R1130">
        <f t="shared" si="100"/>
        <v>97</v>
      </c>
      <c r="S1130">
        <f t="shared" si="100"/>
        <v>115</v>
      </c>
      <c r="T1130">
        <f t="shared" si="100"/>
        <v>46</v>
      </c>
      <c r="U1130">
        <f t="shared" si="100"/>
        <v>101</v>
      </c>
      <c r="V1130">
        <f t="shared" si="100"/>
        <v>108</v>
      </c>
      <c r="W1130" s="5">
        <f t="shared" si="101"/>
        <v>868</v>
      </c>
      <c r="X1130" s="9" t="str">
        <f t="shared" si="102"/>
        <v>l868</v>
      </c>
    </row>
    <row r="1131" spans="1:24" x14ac:dyDescent="0.2">
      <c r="A1131" s="9" t="s">
        <v>425</v>
      </c>
      <c r="B1131" s="9">
        <v>3</v>
      </c>
      <c r="C1131" s="25">
        <v>7</v>
      </c>
      <c r="D1131" s="25"/>
      <c r="E1131" s="23">
        <v>45376</v>
      </c>
      <c r="F1131" s="23" t="s">
        <v>283</v>
      </c>
      <c r="G1131" s="25" t="s">
        <v>291</v>
      </c>
      <c r="H1131" s="24">
        <v>0</v>
      </c>
      <c r="I1131" s="25" t="s">
        <v>8</v>
      </c>
      <c r="J1131" s="32" t="s">
        <v>7</v>
      </c>
      <c r="K1131" s="24" t="s">
        <v>9</v>
      </c>
      <c r="L1131" s="9">
        <f t="shared" si="96"/>
        <v>638</v>
      </c>
      <c r="M1131" s="4" t="str">
        <f>IF(Table3[[#This Row],[Afrondingsdatum YB]]="N/A","-",Table3[[#This Row],[Afrondingsdatum YB]]-Table3[[#This Row],[StartDatum]])</f>
        <v>-</v>
      </c>
      <c r="N1131" s="4"/>
      <c r="O1131">
        <f t="shared" si="100"/>
        <v>73</v>
      </c>
      <c r="P1131">
        <f t="shared" si="100"/>
        <v>115</v>
      </c>
      <c r="Q1131">
        <f t="shared" si="100"/>
        <v>97</v>
      </c>
      <c r="R1131">
        <f t="shared" si="100"/>
        <v>98</v>
      </c>
      <c r="S1131">
        <f t="shared" si="100"/>
        <v>101</v>
      </c>
      <c r="T1131">
        <f t="shared" si="100"/>
        <v>108</v>
      </c>
      <c r="U1131">
        <f t="shared" si="100"/>
        <v>46</v>
      </c>
      <c r="V1131">
        <f t="shared" si="100"/>
        <v>109</v>
      </c>
      <c r="W1131" s="5">
        <f t="shared" si="101"/>
        <v>810</v>
      </c>
      <c r="X1131" s="9" t="str">
        <f t="shared" si="102"/>
        <v>s810</v>
      </c>
    </row>
    <row r="1132" spans="1:24" x14ac:dyDescent="0.2">
      <c r="A1132" s="9" t="s">
        <v>425</v>
      </c>
      <c r="B1132" s="9">
        <v>3</v>
      </c>
      <c r="C1132" s="25">
        <v>7</v>
      </c>
      <c r="D1132" s="25"/>
      <c r="E1132" s="23">
        <v>45376</v>
      </c>
      <c r="F1132" s="23" t="s">
        <v>280</v>
      </c>
      <c r="G1132" s="25" t="s">
        <v>292</v>
      </c>
      <c r="H1132" s="24">
        <v>0.32</v>
      </c>
      <c r="I1132" s="25" t="s">
        <v>337</v>
      </c>
      <c r="J1132" s="32" t="s">
        <v>7</v>
      </c>
      <c r="K1132" s="24" t="s">
        <v>9</v>
      </c>
      <c r="L1132" s="9">
        <f t="shared" ref="L1132:L1195" si="103">SUM(O1132:U1132)</f>
        <v>673</v>
      </c>
      <c r="M1132" s="4" t="str">
        <f>IF(Table3[[#This Row],[Afrondingsdatum YB]]="N/A","-",Table3[[#This Row],[Afrondingsdatum YB]]-Table3[[#This Row],[StartDatum]])</f>
        <v>-</v>
      </c>
      <c r="N1132" s="4"/>
      <c r="O1132">
        <f t="shared" si="100"/>
        <v>106</v>
      </c>
      <c r="P1132">
        <f t="shared" si="100"/>
        <v>97</v>
      </c>
      <c r="Q1132">
        <f t="shared" si="100"/>
        <v>105</v>
      </c>
      <c r="R1132">
        <f t="shared" si="100"/>
        <v>114</v>
      </c>
      <c r="S1132">
        <f t="shared" si="100"/>
        <v>46</v>
      </c>
      <c r="T1132">
        <f t="shared" si="100"/>
        <v>104</v>
      </c>
      <c r="U1132">
        <f t="shared" si="100"/>
        <v>101</v>
      </c>
      <c r="V1132">
        <f t="shared" si="100"/>
        <v>107</v>
      </c>
      <c r="W1132" s="5">
        <f t="shared" si="101"/>
        <v>856</v>
      </c>
      <c r="X1132" s="9" t="str">
        <f t="shared" si="102"/>
        <v>a856</v>
      </c>
    </row>
    <row r="1133" spans="1:24" x14ac:dyDescent="0.2">
      <c r="A1133" s="9" t="s">
        <v>425</v>
      </c>
      <c r="B1133" s="9">
        <v>3</v>
      </c>
      <c r="C1133" s="25">
        <v>7</v>
      </c>
      <c r="D1133" s="25"/>
      <c r="E1133" s="23">
        <v>45376</v>
      </c>
      <c r="F1133" s="23" t="s">
        <v>283</v>
      </c>
      <c r="G1133" s="25" t="s">
        <v>293</v>
      </c>
      <c r="H1133" s="24">
        <v>0</v>
      </c>
      <c r="I1133" s="25" t="s">
        <v>8</v>
      </c>
      <c r="J1133" s="32" t="s">
        <v>7</v>
      </c>
      <c r="K1133" s="24" t="s">
        <v>9</v>
      </c>
      <c r="L1133" s="9">
        <f t="shared" si="103"/>
        <v>692</v>
      </c>
      <c r="M1133" s="4" t="str">
        <f>IF(Table3[[#This Row],[Afrondingsdatum YB]]="N/A","-",Table3[[#This Row],[Afrondingsdatum YB]]-Table3[[#This Row],[StartDatum]])</f>
        <v>-</v>
      </c>
      <c r="N1133" s="4"/>
      <c r="O1133">
        <f t="shared" si="100"/>
        <v>106</v>
      </c>
      <c r="P1133">
        <f t="shared" si="100"/>
        <v>101</v>
      </c>
      <c r="Q1133">
        <f t="shared" si="100"/>
        <v>115</v>
      </c>
      <c r="R1133">
        <f t="shared" si="100"/>
        <v>115</v>
      </c>
      <c r="S1133">
        <f t="shared" si="100"/>
        <v>101</v>
      </c>
      <c r="T1133">
        <f t="shared" si="100"/>
        <v>46</v>
      </c>
      <c r="U1133">
        <f t="shared" si="100"/>
        <v>108</v>
      </c>
      <c r="V1133">
        <f t="shared" si="100"/>
        <v>101</v>
      </c>
      <c r="W1133" s="5">
        <f t="shared" si="101"/>
        <v>886</v>
      </c>
      <c r="X1133" s="9" t="str">
        <f t="shared" si="102"/>
        <v>e886</v>
      </c>
    </row>
    <row r="1134" spans="1:24" x14ac:dyDescent="0.2">
      <c r="A1134" s="9" t="s">
        <v>425</v>
      </c>
      <c r="B1134" s="9">
        <v>3</v>
      </c>
      <c r="C1134" s="25">
        <v>7</v>
      </c>
      <c r="D1134" s="25"/>
      <c r="E1134" s="23">
        <v>45376</v>
      </c>
      <c r="F1134" s="23" t="s">
        <v>283</v>
      </c>
      <c r="G1134" s="25" t="s">
        <v>294</v>
      </c>
      <c r="H1134" s="24">
        <v>0</v>
      </c>
      <c r="I1134" s="25" t="s">
        <v>8</v>
      </c>
      <c r="J1134" s="32" t="s">
        <v>7</v>
      </c>
      <c r="K1134" s="24" t="s">
        <v>9</v>
      </c>
      <c r="L1134" s="9">
        <f t="shared" si="103"/>
        <v>681</v>
      </c>
      <c r="M1134" s="4" t="str">
        <f>IF(Table3[[#This Row],[Afrondingsdatum YB]]="N/A","-",Table3[[#This Row],[Afrondingsdatum YB]]-Table3[[#This Row],[StartDatum]])</f>
        <v>-</v>
      </c>
      <c r="N1134" s="4"/>
      <c r="O1134">
        <f t="shared" si="100"/>
        <v>106</v>
      </c>
      <c r="P1134">
        <f t="shared" si="100"/>
        <v>111</v>
      </c>
      <c r="Q1134">
        <f t="shared" si="100"/>
        <v>114</v>
      </c>
      <c r="R1134">
        <f t="shared" si="100"/>
        <v>100</v>
      </c>
      <c r="S1134">
        <f t="shared" si="100"/>
        <v>46</v>
      </c>
      <c r="T1134">
        <f t="shared" si="100"/>
        <v>107</v>
      </c>
      <c r="U1134">
        <f t="shared" si="100"/>
        <v>97</v>
      </c>
      <c r="V1134">
        <f t="shared" si="100"/>
        <v>114</v>
      </c>
      <c r="W1134" s="5">
        <f t="shared" si="101"/>
        <v>893</v>
      </c>
      <c r="X1134" s="9" t="str">
        <f t="shared" si="102"/>
        <v>o893</v>
      </c>
    </row>
    <row r="1135" spans="1:24" x14ac:dyDescent="0.2">
      <c r="A1135" s="9" t="s">
        <v>425</v>
      </c>
      <c r="B1135" s="9">
        <v>3</v>
      </c>
      <c r="C1135" s="25">
        <v>7</v>
      </c>
      <c r="D1135" s="25"/>
      <c r="E1135" s="23">
        <v>45376</v>
      </c>
      <c r="F1135" s="23" t="s">
        <v>280</v>
      </c>
      <c r="G1135" s="25" t="s">
        <v>295</v>
      </c>
      <c r="H1135" s="24">
        <v>0.72</v>
      </c>
      <c r="I1135" s="25" t="s">
        <v>338</v>
      </c>
      <c r="J1135" s="32" t="s">
        <v>7</v>
      </c>
      <c r="K1135" s="24" t="s">
        <v>9</v>
      </c>
      <c r="L1135" s="9">
        <f t="shared" si="103"/>
        <v>691</v>
      </c>
      <c r="M1135" s="4" t="str">
        <f>IF(Table3[[#This Row],[Afrondingsdatum YB]]="N/A","-",Table3[[#This Row],[Afrondingsdatum YB]]-Table3[[#This Row],[StartDatum]])</f>
        <v>-</v>
      </c>
      <c r="N1135" s="4"/>
      <c r="O1135">
        <f t="shared" si="100"/>
        <v>106</v>
      </c>
      <c r="P1135">
        <f t="shared" si="100"/>
        <v>111</v>
      </c>
      <c r="Q1135">
        <f t="shared" si="100"/>
        <v>121</v>
      </c>
      <c r="R1135">
        <f t="shared" si="100"/>
        <v>99</v>
      </c>
      <c r="S1135">
        <f t="shared" si="100"/>
        <v>101</v>
      </c>
      <c r="T1135">
        <f t="shared" si="100"/>
        <v>46</v>
      </c>
      <c r="U1135">
        <f t="shared" si="100"/>
        <v>107</v>
      </c>
      <c r="V1135">
        <f t="shared" si="100"/>
        <v>111</v>
      </c>
      <c r="W1135" s="5">
        <f t="shared" si="101"/>
        <v>914</v>
      </c>
      <c r="X1135" s="9" t="str">
        <f t="shared" si="102"/>
        <v>o914</v>
      </c>
    </row>
    <row r="1136" spans="1:24" x14ac:dyDescent="0.2">
      <c r="A1136" s="9" t="s">
        <v>425</v>
      </c>
      <c r="B1136" s="9">
        <v>3</v>
      </c>
      <c r="C1136" s="25">
        <v>7</v>
      </c>
      <c r="D1136" s="25"/>
      <c r="E1136" s="23">
        <v>45376</v>
      </c>
      <c r="F1136" s="23" t="s">
        <v>283</v>
      </c>
      <c r="G1136" s="25" t="s">
        <v>296</v>
      </c>
      <c r="H1136" s="24">
        <v>0</v>
      </c>
      <c r="I1136" s="25" t="s">
        <v>8</v>
      </c>
      <c r="J1136" s="32" t="s">
        <v>7</v>
      </c>
      <c r="K1136" s="24" t="s">
        <v>9</v>
      </c>
      <c r="L1136" s="9">
        <f t="shared" si="103"/>
        <v>689</v>
      </c>
      <c r="M1136" s="4" t="str">
        <f>IF(Table3[[#This Row],[Afrondingsdatum YB]]="N/A","-",Table3[[#This Row],[Afrondingsdatum YB]]-Table3[[#This Row],[StartDatum]])</f>
        <v>-</v>
      </c>
      <c r="N1136" s="4"/>
      <c r="O1136">
        <f t="shared" si="100"/>
        <v>106</v>
      </c>
      <c r="P1136">
        <f t="shared" si="100"/>
        <v>117</v>
      </c>
      <c r="Q1136">
        <f t="shared" si="100"/>
        <v>108</v>
      </c>
      <c r="R1136">
        <f t="shared" si="100"/>
        <v>105</v>
      </c>
      <c r="S1136">
        <f t="shared" si="100"/>
        <v>97</v>
      </c>
      <c r="T1136">
        <f t="shared" si="100"/>
        <v>110</v>
      </c>
      <c r="U1136">
        <f t="shared" si="100"/>
        <v>46</v>
      </c>
      <c r="V1136">
        <f t="shared" si="100"/>
        <v>109</v>
      </c>
      <c r="W1136" s="5">
        <f t="shared" si="101"/>
        <v>877</v>
      </c>
      <c r="X1136" s="9" t="str">
        <f t="shared" si="102"/>
        <v>u877</v>
      </c>
    </row>
    <row r="1137" spans="1:24" x14ac:dyDescent="0.2">
      <c r="A1137" s="9" t="s">
        <v>425</v>
      </c>
      <c r="B1137" s="9">
        <v>3</v>
      </c>
      <c r="C1137" s="25">
        <v>7</v>
      </c>
      <c r="D1137" s="25"/>
      <c r="E1137" s="23">
        <v>45376</v>
      </c>
      <c r="F1137" s="23" t="s">
        <v>283</v>
      </c>
      <c r="G1137" s="25" t="s">
        <v>297</v>
      </c>
      <c r="H1137" s="24">
        <v>7.0000000000000007E-2</v>
      </c>
      <c r="I1137" s="25" t="s">
        <v>259</v>
      </c>
      <c r="J1137" s="32" t="s">
        <v>7</v>
      </c>
      <c r="K1137" s="24" t="s">
        <v>9</v>
      </c>
      <c r="L1137" s="9">
        <f t="shared" si="103"/>
        <v>698</v>
      </c>
      <c r="M1137" s="4" t="str">
        <f>IF(Table3[[#This Row],[Afrondingsdatum YB]]="N/A","-",Table3[[#This Row],[Afrondingsdatum YB]]-Table3[[#This Row],[StartDatum]])</f>
        <v>-</v>
      </c>
      <c r="N1137" s="4"/>
      <c r="O1137">
        <f t="shared" si="100"/>
        <v>106</v>
      </c>
      <c r="P1137">
        <f t="shared" si="100"/>
        <v>117</v>
      </c>
      <c r="Q1137">
        <f t="shared" si="100"/>
        <v>114</v>
      </c>
      <c r="R1137">
        <f t="shared" si="100"/>
        <v>114</v>
      </c>
      <c r="S1137">
        <f t="shared" si="100"/>
        <v>101</v>
      </c>
      <c r="T1137">
        <f t="shared" si="100"/>
        <v>46</v>
      </c>
      <c r="U1137">
        <f t="shared" si="100"/>
        <v>100</v>
      </c>
      <c r="V1137">
        <f t="shared" si="100"/>
        <v>101</v>
      </c>
      <c r="W1137" s="5">
        <f t="shared" si="101"/>
        <v>883</v>
      </c>
      <c r="X1137" s="9" t="str">
        <f t="shared" si="102"/>
        <v>u883</v>
      </c>
    </row>
    <row r="1138" spans="1:24" x14ac:dyDescent="0.2">
      <c r="A1138" s="9" t="s">
        <v>425</v>
      </c>
      <c r="B1138" s="9">
        <v>3</v>
      </c>
      <c r="C1138" s="25">
        <v>7</v>
      </c>
      <c r="D1138" s="25"/>
      <c r="E1138" s="23">
        <v>45376</v>
      </c>
      <c r="F1138" s="23" t="s">
        <v>280</v>
      </c>
      <c r="G1138" s="25" t="s">
        <v>298</v>
      </c>
      <c r="H1138" s="24">
        <v>0</v>
      </c>
      <c r="I1138" s="25" t="s">
        <v>299</v>
      </c>
      <c r="J1138" s="32" t="s">
        <v>7</v>
      </c>
      <c r="K1138" s="24" t="s">
        <v>9</v>
      </c>
      <c r="L1138" s="9">
        <f t="shared" si="103"/>
        <v>685</v>
      </c>
      <c r="M1138" s="4" t="str">
        <f>IF(Table3[[#This Row],[Afrondingsdatum YB]]="N/A","-",Table3[[#This Row],[Afrondingsdatum YB]]-Table3[[#This Row],[StartDatum]])</f>
        <v>-</v>
      </c>
      <c r="N1138" s="4"/>
      <c r="O1138">
        <f t="shared" si="100"/>
        <v>75</v>
      </c>
      <c r="P1138">
        <f t="shared" si="100"/>
        <v>121</v>
      </c>
      <c r="Q1138">
        <f t="shared" si="100"/>
        <v>114</v>
      </c>
      <c r="R1138">
        <f t="shared" si="100"/>
        <v>111</v>
      </c>
      <c r="S1138">
        <f t="shared" si="100"/>
        <v>110</v>
      </c>
      <c r="T1138">
        <f t="shared" si="100"/>
        <v>46</v>
      </c>
      <c r="U1138">
        <f t="shared" si="100"/>
        <v>108</v>
      </c>
      <c r="V1138">
        <f t="shared" si="100"/>
        <v>101</v>
      </c>
      <c r="W1138" s="5">
        <f t="shared" si="101"/>
        <v>870</v>
      </c>
      <c r="X1138" s="9" t="str">
        <f t="shared" si="102"/>
        <v>y870</v>
      </c>
    </row>
    <row r="1139" spans="1:24" x14ac:dyDescent="0.2">
      <c r="A1139" s="9" t="s">
        <v>425</v>
      </c>
      <c r="B1139" s="9">
        <v>3</v>
      </c>
      <c r="C1139" s="25">
        <v>7</v>
      </c>
      <c r="D1139" s="25"/>
      <c r="E1139" s="23">
        <v>45376</v>
      </c>
      <c r="F1139" s="23" t="s">
        <v>280</v>
      </c>
      <c r="G1139" s="25" t="s">
        <v>300</v>
      </c>
      <c r="H1139" s="24">
        <v>0</v>
      </c>
      <c r="I1139" s="25" t="s">
        <v>8</v>
      </c>
      <c r="J1139" s="32" t="s">
        <v>7</v>
      </c>
      <c r="K1139" s="24" t="s">
        <v>9</v>
      </c>
      <c r="L1139" s="9">
        <f t="shared" si="103"/>
        <v>761</v>
      </c>
      <c r="M1139" s="4" t="str">
        <f>IF(Table3[[#This Row],[Afrondingsdatum YB]]="N/A","-",Table3[[#This Row],[Afrondingsdatum YB]]-Table3[[#This Row],[StartDatum]])</f>
        <v>-</v>
      </c>
      <c r="N1139" s="4"/>
      <c r="O1139">
        <f t="shared" si="100"/>
        <v>108</v>
      </c>
      <c r="P1139">
        <f t="shared" si="100"/>
        <v>117</v>
      </c>
      <c r="Q1139">
        <f t="shared" si="100"/>
        <v>99</v>
      </c>
      <c r="R1139">
        <f t="shared" si="100"/>
        <v>105</v>
      </c>
      <c r="S1139">
        <f t="shared" si="100"/>
        <v>97</v>
      </c>
      <c r="T1139">
        <f t="shared" si="100"/>
        <v>121</v>
      </c>
      <c r="U1139">
        <f t="shared" si="100"/>
        <v>114</v>
      </c>
      <c r="V1139">
        <f t="shared" si="100"/>
        <v>111</v>
      </c>
      <c r="W1139" s="5">
        <f t="shared" si="101"/>
        <v>933</v>
      </c>
      <c r="X1139" s="9" t="str">
        <f t="shared" si="102"/>
        <v>u933</v>
      </c>
    </row>
    <row r="1140" spans="1:24" x14ac:dyDescent="0.2">
      <c r="A1140" s="9" t="s">
        <v>425</v>
      </c>
      <c r="B1140" s="9">
        <v>3</v>
      </c>
      <c r="C1140" s="25">
        <v>7</v>
      </c>
      <c r="D1140" s="25"/>
      <c r="E1140" s="23">
        <v>45376</v>
      </c>
      <c r="F1140" s="23" t="s">
        <v>283</v>
      </c>
      <c r="G1140" s="25" t="s">
        <v>301</v>
      </c>
      <c r="H1140" s="24">
        <v>0</v>
      </c>
      <c r="I1140" s="25" t="s">
        <v>8</v>
      </c>
      <c r="J1140" s="32" t="s">
        <v>7</v>
      </c>
      <c r="K1140" s="24" t="s">
        <v>9</v>
      </c>
      <c r="L1140" s="9">
        <f t="shared" si="103"/>
        <v>762</v>
      </c>
      <c r="M1140" s="4" t="str">
        <f>IF(Table3[[#This Row],[Afrondingsdatum YB]]="N/A","-",Table3[[#This Row],[Afrondingsdatum YB]]-Table3[[#This Row],[StartDatum]])</f>
        <v>-</v>
      </c>
      <c r="N1140" s="4"/>
      <c r="O1140">
        <f t="shared" si="100"/>
        <v>108</v>
      </c>
      <c r="P1140">
        <f t="shared" si="100"/>
        <v>121</v>
      </c>
      <c r="Q1140">
        <f t="shared" si="100"/>
        <v>115</v>
      </c>
      <c r="R1140">
        <f t="shared" si="100"/>
        <v>97</v>
      </c>
      <c r="S1140">
        <f t="shared" si="100"/>
        <v>110</v>
      </c>
      <c r="T1140">
        <f t="shared" si="100"/>
        <v>110</v>
      </c>
      <c r="U1140">
        <f t="shared" si="100"/>
        <v>101</v>
      </c>
      <c r="V1140">
        <f t="shared" si="100"/>
        <v>46</v>
      </c>
      <c r="W1140" s="5">
        <f t="shared" si="101"/>
        <v>905</v>
      </c>
      <c r="X1140" s="9" t="str">
        <f t="shared" si="102"/>
        <v>y905</v>
      </c>
    </row>
    <row r="1141" spans="1:24" x14ac:dyDescent="0.2">
      <c r="A1141" s="9" t="s">
        <v>425</v>
      </c>
      <c r="B1141" s="9">
        <v>3</v>
      </c>
      <c r="C1141" s="25">
        <v>7</v>
      </c>
      <c r="D1141" s="25"/>
      <c r="E1141" s="23">
        <v>45376</v>
      </c>
      <c r="F1141" s="23" t="s">
        <v>283</v>
      </c>
      <c r="G1141" s="25" t="s">
        <v>302</v>
      </c>
      <c r="H1141" s="24">
        <v>1</v>
      </c>
      <c r="I1141" s="25" t="s">
        <v>207</v>
      </c>
      <c r="J1141" s="32">
        <v>45348</v>
      </c>
      <c r="K1141" s="24">
        <v>0.95</v>
      </c>
      <c r="L1141" s="9">
        <f t="shared" si="103"/>
        <v>697</v>
      </c>
      <c r="M1141" s="4">
        <f>IF(Table3[[#This Row],[Afrondingsdatum YB]]="N/A","-",Table3[[#This Row],[Afrondingsdatum YB]]-Table3[[#This Row],[StartDatum]])</f>
        <v>45348</v>
      </c>
      <c r="N1141" s="4"/>
      <c r="O1141">
        <f t="shared" si="100"/>
        <v>109</v>
      </c>
      <c r="P1141">
        <f t="shared" si="100"/>
        <v>101</v>
      </c>
      <c r="Q1141">
        <f t="shared" si="100"/>
        <v>108</v>
      </c>
      <c r="R1141">
        <f t="shared" si="100"/>
        <v>118</v>
      </c>
      <c r="S1141">
        <f t="shared" si="100"/>
        <v>105</v>
      </c>
      <c r="T1141">
        <f t="shared" si="100"/>
        <v>110</v>
      </c>
      <c r="U1141">
        <f t="shared" si="100"/>
        <v>46</v>
      </c>
      <c r="V1141">
        <f t="shared" si="100"/>
        <v>98</v>
      </c>
      <c r="W1141" s="5">
        <f t="shared" si="101"/>
        <v>872</v>
      </c>
      <c r="X1141" s="9" t="str">
        <f t="shared" si="102"/>
        <v>e872</v>
      </c>
    </row>
    <row r="1142" spans="1:24" x14ac:dyDescent="0.2">
      <c r="A1142" s="9" t="s">
        <v>425</v>
      </c>
      <c r="B1142" s="9">
        <v>3</v>
      </c>
      <c r="C1142" s="25">
        <v>7</v>
      </c>
      <c r="D1142" s="25"/>
      <c r="E1142" s="23">
        <v>45379</v>
      </c>
      <c r="F1142" s="23" t="s">
        <v>280</v>
      </c>
      <c r="G1142" s="25" t="s">
        <v>339</v>
      </c>
      <c r="H1142" s="24">
        <v>0</v>
      </c>
      <c r="I1142" s="25" t="s">
        <v>8</v>
      </c>
      <c r="J1142" s="32" t="s">
        <v>7</v>
      </c>
      <c r="K1142" s="24" t="s">
        <v>9</v>
      </c>
      <c r="L1142" s="9">
        <f t="shared" si="103"/>
        <v>731</v>
      </c>
      <c r="M1142" s="4" t="str">
        <f>IF(Table3[[#This Row],[Afrondingsdatum YB]]="N/A","-",Table3[[#This Row],[Afrondingsdatum YB]]-Table3[[#This Row],[StartDatum]])</f>
        <v>-</v>
      </c>
      <c r="N1142" s="4"/>
      <c r="O1142">
        <f t="shared" si="100"/>
        <v>109</v>
      </c>
      <c r="P1142">
        <f t="shared" si="100"/>
        <v>111</v>
      </c>
      <c r="Q1142">
        <f t="shared" si="100"/>
        <v>104</v>
      </c>
      <c r="R1142">
        <f t="shared" si="100"/>
        <v>97</v>
      </c>
      <c r="S1142">
        <f t="shared" si="100"/>
        <v>109</v>
      </c>
      <c r="T1142">
        <f t="shared" si="100"/>
        <v>101</v>
      </c>
      <c r="U1142">
        <f t="shared" si="100"/>
        <v>100</v>
      </c>
      <c r="V1142">
        <f t="shared" si="100"/>
        <v>46</v>
      </c>
      <c r="W1142" s="5">
        <f t="shared" si="101"/>
        <v>857</v>
      </c>
      <c r="X1142" s="9" t="str">
        <f t="shared" si="102"/>
        <v>o857</v>
      </c>
    </row>
    <row r="1143" spans="1:24" x14ac:dyDescent="0.2">
      <c r="A1143" s="9" t="s">
        <v>425</v>
      </c>
      <c r="B1143" s="9">
        <v>3</v>
      </c>
      <c r="C1143" s="25">
        <v>7</v>
      </c>
      <c r="D1143" s="25"/>
      <c r="E1143" s="23">
        <v>45376</v>
      </c>
      <c r="F1143" s="23" t="s">
        <v>283</v>
      </c>
      <c r="G1143" s="25" t="s">
        <v>303</v>
      </c>
      <c r="H1143" s="24">
        <v>0.25</v>
      </c>
      <c r="I1143" s="25" t="s">
        <v>77</v>
      </c>
      <c r="J1143" s="32" t="s">
        <v>7</v>
      </c>
      <c r="K1143" s="24" t="s">
        <v>9</v>
      </c>
      <c r="L1143" s="9">
        <f t="shared" si="103"/>
        <v>691</v>
      </c>
      <c r="M1143" s="4" t="str">
        <f>IF(Table3[[#This Row],[Afrondingsdatum YB]]="N/A","-",Table3[[#This Row],[Afrondingsdatum YB]]-Table3[[#This Row],[StartDatum]])</f>
        <v>-</v>
      </c>
      <c r="N1143" s="4"/>
      <c r="O1143">
        <f t="shared" si="100"/>
        <v>109</v>
      </c>
      <c r="P1143">
        <f t="shared" si="100"/>
        <v>111</v>
      </c>
      <c r="Q1143">
        <f t="shared" si="100"/>
        <v>104</v>
      </c>
      <c r="R1143">
        <f t="shared" si="100"/>
        <v>105</v>
      </c>
      <c r="S1143">
        <f t="shared" si="100"/>
        <v>116</v>
      </c>
      <c r="T1143">
        <f t="shared" si="100"/>
        <v>46</v>
      </c>
      <c r="U1143">
        <f t="shared" si="100"/>
        <v>100</v>
      </c>
      <c r="V1143">
        <f t="shared" si="100"/>
        <v>97</v>
      </c>
      <c r="W1143" s="5">
        <f t="shared" si="101"/>
        <v>862</v>
      </c>
      <c r="X1143" s="9" t="str">
        <f t="shared" si="102"/>
        <v>o862</v>
      </c>
    </row>
    <row r="1144" spans="1:24" x14ac:dyDescent="0.2">
      <c r="A1144" s="9" t="s">
        <v>425</v>
      </c>
      <c r="B1144" s="9">
        <v>3</v>
      </c>
      <c r="C1144" s="25">
        <v>7</v>
      </c>
      <c r="D1144" s="25"/>
      <c r="E1144" s="23">
        <v>45376</v>
      </c>
      <c r="F1144" s="23" t="s">
        <v>280</v>
      </c>
      <c r="G1144" s="25" t="s">
        <v>304</v>
      </c>
      <c r="H1144" s="24">
        <v>0.22</v>
      </c>
      <c r="I1144" s="25" t="s">
        <v>328</v>
      </c>
      <c r="J1144" s="32" t="s">
        <v>7</v>
      </c>
      <c r="K1144" s="24" t="s">
        <v>9</v>
      </c>
      <c r="L1144" s="9">
        <f t="shared" si="103"/>
        <v>706</v>
      </c>
      <c r="M1144" s="4" t="str">
        <f>IF(Table3[[#This Row],[Afrondingsdatum YB]]="N/A","-",Table3[[#This Row],[Afrondingsdatum YB]]-Table3[[#This Row],[StartDatum]])</f>
        <v>-</v>
      </c>
      <c r="N1144" s="4"/>
      <c r="O1144">
        <f t="shared" si="100"/>
        <v>109</v>
      </c>
      <c r="P1144">
        <f t="shared" si="100"/>
        <v>111</v>
      </c>
      <c r="Q1144">
        <f t="shared" si="100"/>
        <v>108</v>
      </c>
      <c r="R1144">
        <f t="shared" si="100"/>
        <v>105</v>
      </c>
      <c r="S1144">
        <f t="shared" si="100"/>
        <v>116</v>
      </c>
      <c r="T1144">
        <f t="shared" si="100"/>
        <v>111</v>
      </c>
      <c r="U1144">
        <f t="shared" si="100"/>
        <v>46</v>
      </c>
      <c r="V1144">
        <f t="shared" si="100"/>
        <v>102</v>
      </c>
      <c r="W1144" s="5">
        <f t="shared" si="101"/>
        <v>890</v>
      </c>
      <c r="X1144" s="9" t="str">
        <f t="shared" si="102"/>
        <v>o890</v>
      </c>
    </row>
    <row r="1145" spans="1:24" x14ac:dyDescent="0.2">
      <c r="A1145" s="9" t="s">
        <v>425</v>
      </c>
      <c r="B1145" s="9">
        <v>3</v>
      </c>
      <c r="C1145" s="25">
        <v>7</v>
      </c>
      <c r="D1145" s="25"/>
      <c r="E1145" s="23">
        <v>45376</v>
      </c>
      <c r="F1145" s="23" t="s">
        <v>283</v>
      </c>
      <c r="G1145" s="25" t="s">
        <v>305</v>
      </c>
      <c r="H1145" s="24">
        <v>0.69</v>
      </c>
      <c r="I1145" s="25" t="s">
        <v>248</v>
      </c>
      <c r="J1145" s="32" t="s">
        <v>7</v>
      </c>
      <c r="K1145" s="24" t="s">
        <v>9</v>
      </c>
      <c r="L1145" s="9">
        <f t="shared" si="103"/>
        <v>726</v>
      </c>
      <c r="M1145" s="4" t="str">
        <f>IF(Table3[[#This Row],[Afrondingsdatum YB]]="N/A","-",Table3[[#This Row],[Afrondingsdatum YB]]-Table3[[#This Row],[StartDatum]])</f>
        <v>-</v>
      </c>
      <c r="N1145" s="4"/>
      <c r="O1145">
        <f t="shared" si="100"/>
        <v>77</v>
      </c>
      <c r="P1145">
        <f t="shared" si="100"/>
        <v>117</v>
      </c>
      <c r="Q1145">
        <f t="shared" si="100"/>
        <v>100</v>
      </c>
      <c r="R1145">
        <f t="shared" si="100"/>
        <v>97</v>
      </c>
      <c r="S1145">
        <f t="shared" si="100"/>
        <v>115</v>
      </c>
      <c r="T1145">
        <f t="shared" si="100"/>
        <v>115</v>
      </c>
      <c r="U1145">
        <f t="shared" si="100"/>
        <v>105</v>
      </c>
      <c r="V1145">
        <f t="shared" si="100"/>
        <v>114</v>
      </c>
      <c r="W1145" s="5">
        <f t="shared" si="101"/>
        <v>909</v>
      </c>
      <c r="X1145" s="9" t="str">
        <f t="shared" si="102"/>
        <v>u909</v>
      </c>
    </row>
    <row r="1146" spans="1:24" x14ac:dyDescent="0.2">
      <c r="A1146" s="9" t="s">
        <v>425</v>
      </c>
      <c r="B1146" s="9">
        <v>3</v>
      </c>
      <c r="C1146" s="25">
        <v>7</v>
      </c>
      <c r="D1146" s="25"/>
      <c r="E1146" s="23">
        <v>45376</v>
      </c>
      <c r="F1146" s="23" t="s">
        <v>280</v>
      </c>
      <c r="G1146" s="25" t="s">
        <v>306</v>
      </c>
      <c r="H1146" s="24">
        <v>0.28000000000000003</v>
      </c>
      <c r="I1146" s="25" t="s">
        <v>123</v>
      </c>
      <c r="J1146" s="32" t="s">
        <v>7</v>
      </c>
      <c r="K1146" s="24" t="s">
        <v>9</v>
      </c>
      <c r="L1146" s="9">
        <f t="shared" si="103"/>
        <v>684</v>
      </c>
      <c r="M1146" s="4" t="str">
        <f>IF(Table3[[#This Row],[Afrondingsdatum YB]]="N/A","-",Table3[[#This Row],[Afrondingsdatum YB]]-Table3[[#This Row],[StartDatum]])</f>
        <v>-</v>
      </c>
      <c r="N1146" s="4"/>
      <c r="O1146">
        <f t="shared" si="100"/>
        <v>110</v>
      </c>
      <c r="P1146">
        <f t="shared" si="100"/>
        <v>97</v>
      </c>
      <c r="Q1146">
        <f t="shared" si="100"/>
        <v>114</v>
      </c>
      <c r="R1146">
        <f t="shared" si="100"/>
        <v>101</v>
      </c>
      <c r="S1146">
        <f t="shared" si="100"/>
        <v>107</v>
      </c>
      <c r="T1146">
        <f t="shared" si="100"/>
        <v>46</v>
      </c>
      <c r="U1146">
        <f t="shared" si="100"/>
        <v>109</v>
      </c>
      <c r="V1146">
        <f t="shared" si="100"/>
        <v>97</v>
      </c>
      <c r="W1146" s="5">
        <f t="shared" si="101"/>
        <v>885</v>
      </c>
      <c r="X1146" s="9" t="str">
        <f t="shared" si="102"/>
        <v>a885</v>
      </c>
    </row>
    <row r="1147" spans="1:24" x14ac:dyDescent="0.2">
      <c r="A1147" s="9" t="s">
        <v>425</v>
      </c>
      <c r="B1147" s="9">
        <v>3</v>
      </c>
      <c r="C1147" s="25">
        <v>7</v>
      </c>
      <c r="D1147" s="25"/>
      <c r="E1147" s="23">
        <v>45376</v>
      </c>
      <c r="F1147" s="23" t="s">
        <v>283</v>
      </c>
      <c r="G1147" s="25" t="s">
        <v>307</v>
      </c>
      <c r="H1147" s="24">
        <v>1</v>
      </c>
      <c r="I1147" s="25" t="s">
        <v>329</v>
      </c>
      <c r="J1147" s="32">
        <v>45345</v>
      </c>
      <c r="K1147" s="24">
        <v>0.98</v>
      </c>
      <c r="L1147" s="9">
        <f t="shared" si="103"/>
        <v>695</v>
      </c>
      <c r="M1147" s="4">
        <f>IF(Table3[[#This Row],[Afrondingsdatum YB]]="N/A","-",Table3[[#This Row],[Afrondingsdatum YB]]-Table3[[#This Row],[StartDatum]])</f>
        <v>45345</v>
      </c>
      <c r="N1147" s="4"/>
      <c r="O1147">
        <f t="shared" si="100"/>
        <v>114</v>
      </c>
      <c r="P1147">
        <f t="shared" si="100"/>
        <v>101</v>
      </c>
      <c r="Q1147">
        <f t="shared" si="100"/>
        <v>109</v>
      </c>
      <c r="R1147">
        <f t="shared" si="100"/>
        <v>121</v>
      </c>
      <c r="S1147">
        <f t="shared" si="100"/>
        <v>46</v>
      </c>
      <c r="T1147">
        <f t="shared" si="100"/>
        <v>97</v>
      </c>
      <c r="U1147">
        <f t="shared" si="100"/>
        <v>107</v>
      </c>
      <c r="V1147">
        <f t="shared" si="100"/>
        <v>98</v>
      </c>
      <c r="W1147" s="5">
        <f t="shared" si="101"/>
        <v>870</v>
      </c>
      <c r="X1147" s="9" t="str">
        <f t="shared" si="102"/>
        <v>e870</v>
      </c>
    </row>
    <row r="1148" spans="1:24" x14ac:dyDescent="0.2">
      <c r="A1148" s="9" t="s">
        <v>425</v>
      </c>
      <c r="B1148" s="9">
        <v>3</v>
      </c>
      <c r="C1148" s="25">
        <v>7</v>
      </c>
      <c r="D1148" s="25"/>
      <c r="E1148" s="23">
        <v>45376</v>
      </c>
      <c r="F1148" s="23" t="s">
        <v>280</v>
      </c>
      <c r="G1148" s="25" t="s">
        <v>308</v>
      </c>
      <c r="H1148" s="24">
        <v>0</v>
      </c>
      <c r="I1148" s="25" t="s">
        <v>8</v>
      </c>
      <c r="J1148" s="32" t="s">
        <v>7</v>
      </c>
      <c r="K1148" s="24" t="s">
        <v>9</v>
      </c>
      <c r="L1148" s="9">
        <f t="shared" si="103"/>
        <v>712</v>
      </c>
      <c r="M1148" s="4" t="str">
        <f>IF(Table3[[#This Row],[Afrondingsdatum YB]]="N/A","-",Table3[[#This Row],[Afrondingsdatum YB]]-Table3[[#This Row],[StartDatum]])</f>
        <v>-</v>
      </c>
      <c r="N1148" s="4"/>
      <c r="O1148">
        <f t="shared" si="100"/>
        <v>114</v>
      </c>
      <c r="P1148">
        <f t="shared" si="100"/>
        <v>111</v>
      </c>
      <c r="Q1148">
        <f t="shared" si="100"/>
        <v>119</v>
      </c>
      <c r="R1148">
        <f t="shared" si="100"/>
        <v>97</v>
      </c>
      <c r="S1148">
        <f t="shared" si="100"/>
        <v>110</v>
      </c>
      <c r="T1148">
        <f t="shared" si="100"/>
        <v>46</v>
      </c>
      <c r="U1148">
        <f t="shared" si="100"/>
        <v>115</v>
      </c>
      <c r="V1148">
        <f t="shared" si="100"/>
        <v>97</v>
      </c>
      <c r="W1148" s="5">
        <f t="shared" si="101"/>
        <v>919</v>
      </c>
      <c r="X1148" s="9" t="str">
        <f t="shared" si="102"/>
        <v>o919</v>
      </c>
    </row>
    <row r="1149" spans="1:24" x14ac:dyDescent="0.2">
      <c r="A1149" s="9" t="s">
        <v>425</v>
      </c>
      <c r="B1149" s="9">
        <v>3</v>
      </c>
      <c r="C1149" s="25">
        <v>7</v>
      </c>
      <c r="D1149" s="25"/>
      <c r="E1149" s="23">
        <v>45376</v>
      </c>
      <c r="F1149" s="23" t="s">
        <v>283</v>
      </c>
      <c r="G1149" s="25" t="s">
        <v>309</v>
      </c>
      <c r="H1149" s="24">
        <v>0.65</v>
      </c>
      <c r="I1149" s="25" t="s">
        <v>218</v>
      </c>
      <c r="J1149" s="32" t="s">
        <v>7</v>
      </c>
      <c r="K1149" s="24" t="s">
        <v>9</v>
      </c>
      <c r="L1149" s="9">
        <f t="shared" si="103"/>
        <v>736</v>
      </c>
      <c r="M1149" s="4" t="str">
        <f>IF(Table3[[#This Row],[Afrondingsdatum YB]]="N/A","-",Table3[[#This Row],[Afrondingsdatum YB]]-Table3[[#This Row],[StartDatum]])</f>
        <v>-</v>
      </c>
      <c r="N1149" s="4"/>
      <c r="O1149">
        <f t="shared" si="100"/>
        <v>115</v>
      </c>
      <c r="P1149">
        <f t="shared" si="100"/>
        <v>97</v>
      </c>
      <c r="Q1149">
        <f t="shared" si="100"/>
        <v>121</v>
      </c>
      <c r="R1149">
        <f t="shared" si="100"/>
        <v>102</v>
      </c>
      <c r="S1149">
        <f t="shared" si="100"/>
        <v>101</v>
      </c>
      <c r="T1149">
        <f t="shared" si="100"/>
        <v>100</v>
      </c>
      <c r="U1149">
        <f t="shared" si="100"/>
        <v>100</v>
      </c>
      <c r="V1149">
        <f t="shared" si="100"/>
        <v>105</v>
      </c>
      <c r="W1149" s="5">
        <f t="shared" si="101"/>
        <v>958</v>
      </c>
      <c r="X1149" s="9" t="str">
        <f t="shared" si="102"/>
        <v>a958</v>
      </c>
    </row>
    <row r="1150" spans="1:24" x14ac:dyDescent="0.2">
      <c r="A1150" s="9" t="s">
        <v>425</v>
      </c>
      <c r="B1150" s="9">
        <v>3</v>
      </c>
      <c r="C1150" s="25">
        <v>7</v>
      </c>
      <c r="D1150" s="25"/>
      <c r="E1150" s="23">
        <v>45376</v>
      </c>
      <c r="F1150" s="23" t="s">
        <v>280</v>
      </c>
      <c r="G1150" s="25" t="s">
        <v>318</v>
      </c>
      <c r="H1150" s="24">
        <v>0.39</v>
      </c>
      <c r="I1150" s="25" t="s">
        <v>330</v>
      </c>
      <c r="J1150" s="32" t="s">
        <v>7</v>
      </c>
      <c r="K1150" s="24" t="s">
        <v>9</v>
      </c>
      <c r="L1150" s="9">
        <f t="shared" si="103"/>
        <v>672</v>
      </c>
      <c r="M1150" s="4" t="str">
        <f>IF(Table3[[#This Row],[Afrondingsdatum YB]]="N/A","-",Table3[[#This Row],[Afrondingsdatum YB]]-Table3[[#This Row],[StartDatum]])</f>
        <v>-</v>
      </c>
      <c r="N1150" s="4"/>
      <c r="O1150">
        <f t="shared" si="100"/>
        <v>115</v>
      </c>
      <c r="P1150">
        <f t="shared" si="100"/>
        <v>101</v>
      </c>
      <c r="Q1150">
        <f t="shared" si="100"/>
        <v>98</v>
      </c>
      <c r="R1150">
        <f t="shared" si="100"/>
        <v>97</v>
      </c>
      <c r="S1150">
        <f t="shared" si="100"/>
        <v>115</v>
      </c>
      <c r="T1150">
        <f t="shared" si="100"/>
        <v>46</v>
      </c>
      <c r="U1150">
        <f t="shared" si="100"/>
        <v>100</v>
      </c>
      <c r="V1150">
        <f t="shared" si="100"/>
        <v>101</v>
      </c>
      <c r="W1150" s="5">
        <f t="shared" si="101"/>
        <v>846</v>
      </c>
      <c r="X1150" s="9" t="str">
        <f t="shared" si="102"/>
        <v>e846</v>
      </c>
    </row>
    <row r="1151" spans="1:24" x14ac:dyDescent="0.2">
      <c r="A1151" s="9" t="s">
        <v>425</v>
      </c>
      <c r="B1151" s="9">
        <v>3</v>
      </c>
      <c r="C1151" s="25">
        <v>7</v>
      </c>
      <c r="D1151" s="25"/>
      <c r="E1151" s="23">
        <v>45376</v>
      </c>
      <c r="F1151" s="23" t="s">
        <v>283</v>
      </c>
      <c r="G1151" s="25" t="s">
        <v>310</v>
      </c>
      <c r="H1151" s="24">
        <v>0.01</v>
      </c>
      <c r="I1151" s="25" t="s">
        <v>76</v>
      </c>
      <c r="J1151" s="32" t="s">
        <v>7</v>
      </c>
      <c r="K1151" s="24" t="s">
        <v>9</v>
      </c>
      <c r="L1151" s="9">
        <f t="shared" si="103"/>
        <v>724</v>
      </c>
      <c r="M1151" s="4" t="str">
        <f>IF(Table3[[#This Row],[Afrondingsdatum YB]]="N/A","-",Table3[[#This Row],[Afrondingsdatum YB]]-Table3[[#This Row],[StartDatum]])</f>
        <v>-</v>
      </c>
      <c r="N1151" s="4"/>
      <c r="O1151">
        <f t="shared" si="100"/>
        <v>116</v>
      </c>
      <c r="P1151">
        <f t="shared" si="100"/>
        <v>111</v>
      </c>
      <c r="Q1151">
        <f t="shared" si="100"/>
        <v>109</v>
      </c>
      <c r="R1151">
        <f t="shared" si="100"/>
        <v>109</v>
      </c>
      <c r="S1151">
        <f t="shared" si="100"/>
        <v>121</v>
      </c>
      <c r="T1151">
        <f t="shared" si="100"/>
        <v>46</v>
      </c>
      <c r="U1151">
        <f t="shared" si="100"/>
        <v>112</v>
      </c>
      <c r="V1151">
        <f t="shared" si="100"/>
        <v>111</v>
      </c>
      <c r="W1151" s="5">
        <f t="shared" si="101"/>
        <v>916</v>
      </c>
      <c r="X1151" s="9" t="str">
        <f t="shared" si="102"/>
        <v>o916</v>
      </c>
    </row>
    <row r="1152" spans="1:24" x14ac:dyDescent="0.2">
      <c r="A1152" s="9" t="s">
        <v>425</v>
      </c>
      <c r="B1152" s="9">
        <v>3</v>
      </c>
      <c r="C1152" s="25">
        <v>7</v>
      </c>
      <c r="D1152" s="25"/>
      <c r="E1152" s="23">
        <v>45376</v>
      </c>
      <c r="F1152" s="23" t="s">
        <v>280</v>
      </c>
      <c r="G1152" s="25" t="s">
        <v>322</v>
      </c>
      <c r="H1152" s="24">
        <v>1</v>
      </c>
      <c r="I1152" s="25" t="s">
        <v>158</v>
      </c>
      <c r="J1152" s="32">
        <v>45368</v>
      </c>
      <c r="K1152" s="24">
        <v>0.85</v>
      </c>
      <c r="L1152" s="9">
        <f t="shared" si="103"/>
        <v>728</v>
      </c>
      <c r="M1152" s="4">
        <f>IF(Table3[[#This Row],[Afrondingsdatum YB]]="N/A","-",Table3[[#This Row],[Afrondingsdatum YB]]-Table3[[#This Row],[StartDatum]])</f>
        <v>45368</v>
      </c>
      <c r="N1152" s="4"/>
      <c r="O1152">
        <f t="shared" si="100"/>
        <v>120</v>
      </c>
      <c r="P1152">
        <f t="shared" si="100"/>
        <v>117</v>
      </c>
      <c r="Q1152">
        <f t="shared" si="100"/>
        <v>121</v>
      </c>
      <c r="R1152">
        <f t="shared" si="100"/>
        <v>117</v>
      </c>
      <c r="S1152">
        <f t="shared" si="100"/>
        <v>97</v>
      </c>
      <c r="T1152">
        <f t="shared" si="100"/>
        <v>110</v>
      </c>
      <c r="U1152">
        <f t="shared" si="100"/>
        <v>46</v>
      </c>
      <c r="V1152">
        <f t="shared" si="100"/>
        <v>121</v>
      </c>
      <c r="W1152" s="5">
        <f t="shared" si="101"/>
        <v>945</v>
      </c>
      <c r="X1152" s="9" t="str">
        <f t="shared" si="102"/>
        <v>u945</v>
      </c>
    </row>
    <row r="1153" spans="1:24" x14ac:dyDescent="0.2">
      <c r="A1153" s="9" t="s">
        <v>425</v>
      </c>
      <c r="B1153" s="9">
        <v>3</v>
      </c>
      <c r="C1153" s="25">
        <v>7</v>
      </c>
      <c r="D1153" s="25"/>
      <c r="E1153" s="23">
        <v>45376</v>
      </c>
      <c r="F1153" s="23" t="s">
        <v>283</v>
      </c>
      <c r="G1153" s="25" t="s">
        <v>311</v>
      </c>
      <c r="H1153" s="24">
        <v>0.23</v>
      </c>
      <c r="I1153" s="25" t="s">
        <v>145</v>
      </c>
      <c r="J1153" s="32" t="s">
        <v>7</v>
      </c>
      <c r="K1153" s="24" t="s">
        <v>9</v>
      </c>
      <c r="L1153" s="9">
        <f t="shared" si="103"/>
        <v>758</v>
      </c>
      <c r="M1153" s="4" t="str">
        <f>IF(Table3[[#This Row],[Afrondingsdatum YB]]="N/A","-",Table3[[#This Row],[Afrondingsdatum YB]]-Table3[[#This Row],[StartDatum]])</f>
        <v>-</v>
      </c>
      <c r="N1153" s="4"/>
      <c r="O1153">
        <f t="shared" si="100"/>
        <v>121</v>
      </c>
      <c r="P1153">
        <f t="shared" si="100"/>
        <v>97</v>
      </c>
      <c r="Q1153">
        <f t="shared" si="100"/>
        <v>115</v>
      </c>
      <c r="R1153">
        <f t="shared" si="100"/>
        <v>109</v>
      </c>
      <c r="S1153">
        <f t="shared" si="100"/>
        <v>105</v>
      </c>
      <c r="T1153">
        <f t="shared" si="100"/>
        <v>110</v>
      </c>
      <c r="U1153">
        <f t="shared" si="100"/>
        <v>101</v>
      </c>
      <c r="V1153">
        <f t="shared" si="100"/>
        <v>46</v>
      </c>
      <c r="W1153" s="5">
        <f t="shared" si="101"/>
        <v>904</v>
      </c>
      <c r="X1153" s="9" t="str">
        <f t="shared" si="102"/>
        <v>a904</v>
      </c>
    </row>
    <row r="1154" spans="1:24" x14ac:dyDescent="0.2">
      <c r="A1154" s="9" t="s">
        <v>425</v>
      </c>
      <c r="B1154" s="9">
        <v>3</v>
      </c>
      <c r="C1154" s="25">
        <v>7</v>
      </c>
      <c r="D1154" s="25"/>
      <c r="E1154" s="23">
        <v>45378</v>
      </c>
      <c r="F1154" s="23" t="s">
        <v>283</v>
      </c>
      <c r="G1154" s="25" t="s">
        <v>340</v>
      </c>
      <c r="H1154" s="24">
        <v>1</v>
      </c>
      <c r="I1154" s="25" t="s">
        <v>341</v>
      </c>
      <c r="J1154" s="32">
        <v>45375</v>
      </c>
      <c r="K1154" s="24">
        <v>0.9</v>
      </c>
      <c r="L1154" s="9">
        <f t="shared" si="103"/>
        <v>782</v>
      </c>
      <c r="M1154" s="4">
        <f>IF(Table3[[#This Row],[Afrondingsdatum YB]]="N/A","-",Table3[[#This Row],[Afrondingsdatum YB]]-Table3[[#This Row],[StartDatum]])</f>
        <v>45375</v>
      </c>
      <c r="N1154" s="4"/>
      <c r="O1154">
        <f t="shared" si="100"/>
        <v>121</v>
      </c>
      <c r="P1154">
        <f t="shared" si="100"/>
        <v>111</v>
      </c>
      <c r="Q1154">
        <f t="shared" si="100"/>
        <v>117</v>
      </c>
      <c r="R1154">
        <f t="shared" ref="O1154:V1186" si="104">CODE(MID($G1154,R$1,1))</f>
        <v>115</v>
      </c>
      <c r="S1154">
        <f t="shared" si="104"/>
        <v>115</v>
      </c>
      <c r="T1154">
        <f t="shared" si="104"/>
        <v>101</v>
      </c>
      <c r="U1154">
        <f t="shared" si="104"/>
        <v>102</v>
      </c>
      <c r="V1154">
        <f t="shared" si="104"/>
        <v>46</v>
      </c>
      <c r="W1154" s="5">
        <f t="shared" si="101"/>
        <v>920</v>
      </c>
      <c r="X1154" s="9" t="str">
        <f t="shared" si="102"/>
        <v>o920</v>
      </c>
    </row>
    <row r="1155" spans="1:24" x14ac:dyDescent="0.2">
      <c r="A1155" s="9" t="s">
        <v>425</v>
      </c>
      <c r="B1155" s="9">
        <v>3</v>
      </c>
      <c r="C1155" s="25">
        <v>7</v>
      </c>
      <c r="D1155" s="25"/>
      <c r="E1155" s="23">
        <v>45376</v>
      </c>
      <c r="F1155" s="23" t="s">
        <v>280</v>
      </c>
      <c r="G1155" s="25" t="s">
        <v>312</v>
      </c>
      <c r="H1155" s="24">
        <v>0.13</v>
      </c>
      <c r="I1155" s="25" t="s">
        <v>316</v>
      </c>
      <c r="J1155" s="32" t="s">
        <v>7</v>
      </c>
      <c r="K1155" s="24" t="s">
        <v>9</v>
      </c>
      <c r="L1155" s="9">
        <f t="shared" si="103"/>
        <v>790</v>
      </c>
      <c r="M1155" s="4" t="str">
        <f>IF(Table3[[#This Row],[Afrondingsdatum YB]]="N/A","-",Table3[[#This Row],[Afrondingsdatum YB]]-Table3[[#This Row],[StartDatum]])</f>
        <v>-</v>
      </c>
      <c r="N1155" s="4"/>
      <c r="O1155">
        <f t="shared" si="104"/>
        <v>121</v>
      </c>
      <c r="P1155">
        <f t="shared" si="104"/>
        <v>111</v>
      </c>
      <c r="Q1155">
        <f t="shared" si="104"/>
        <v>117</v>
      </c>
      <c r="R1155">
        <f t="shared" si="104"/>
        <v>115</v>
      </c>
      <c r="S1155">
        <f t="shared" si="104"/>
        <v>115</v>
      </c>
      <c r="T1155">
        <f t="shared" si="104"/>
        <v>114</v>
      </c>
      <c r="U1155">
        <f t="shared" si="104"/>
        <v>97</v>
      </c>
      <c r="V1155">
        <f t="shared" si="104"/>
        <v>46</v>
      </c>
      <c r="W1155" s="5">
        <f t="shared" si="101"/>
        <v>928</v>
      </c>
      <c r="X1155" s="9" t="str">
        <f t="shared" si="102"/>
        <v>o928</v>
      </c>
    </row>
    <row r="1156" spans="1:24" x14ac:dyDescent="0.2">
      <c r="A1156" s="9" t="s">
        <v>425</v>
      </c>
      <c r="B1156" s="9">
        <v>3</v>
      </c>
      <c r="C1156" s="25">
        <v>7</v>
      </c>
      <c r="D1156" s="25"/>
      <c r="E1156" s="23">
        <v>45376</v>
      </c>
      <c r="F1156" s="23" t="s">
        <v>283</v>
      </c>
      <c r="G1156" s="25" t="s">
        <v>323</v>
      </c>
      <c r="H1156" s="24">
        <v>0.12</v>
      </c>
      <c r="I1156" s="25" t="s">
        <v>98</v>
      </c>
      <c r="J1156" s="32" t="s">
        <v>7</v>
      </c>
      <c r="K1156" s="24" t="s">
        <v>9</v>
      </c>
      <c r="L1156" s="9">
        <f t="shared" si="103"/>
        <v>685</v>
      </c>
      <c r="M1156" s="4" t="str">
        <f>IF(Table3[[#This Row],[Afrondingsdatum YB]]="N/A","-",Table3[[#This Row],[Afrondingsdatum YB]]-Table3[[#This Row],[StartDatum]])</f>
        <v>-</v>
      </c>
      <c r="N1156" s="4"/>
      <c r="O1156">
        <f t="shared" si="104"/>
        <v>122</v>
      </c>
      <c r="P1156">
        <f t="shared" si="104"/>
        <v>105</v>
      </c>
      <c r="Q1156">
        <f t="shared" si="104"/>
        <v>97</v>
      </c>
      <c r="R1156">
        <f t="shared" si="104"/>
        <v>46</v>
      </c>
      <c r="S1156">
        <f t="shared" si="104"/>
        <v>100</v>
      </c>
      <c r="T1156">
        <f t="shared" si="104"/>
        <v>105</v>
      </c>
      <c r="U1156">
        <f t="shared" si="104"/>
        <v>110</v>
      </c>
      <c r="V1156">
        <f t="shared" si="104"/>
        <v>109</v>
      </c>
      <c r="W1156" s="5">
        <f t="shared" si="101"/>
        <v>901</v>
      </c>
      <c r="X1156" s="9" t="str">
        <f t="shared" si="102"/>
        <v>i901</v>
      </c>
    </row>
    <row r="1157" spans="1:24" x14ac:dyDescent="0.2">
      <c r="A1157" s="9" t="s">
        <v>425</v>
      </c>
      <c r="B1157" s="9">
        <v>3</v>
      </c>
      <c r="C1157" s="25">
        <v>8</v>
      </c>
      <c r="D1157" s="25"/>
      <c r="E1157" s="23">
        <v>45384</v>
      </c>
      <c r="F1157" s="23" t="s">
        <v>280</v>
      </c>
      <c r="G1157" s="25" t="s">
        <v>281</v>
      </c>
      <c r="H1157" s="24">
        <v>1</v>
      </c>
      <c r="I1157" s="25" t="s">
        <v>331</v>
      </c>
      <c r="J1157" s="32">
        <v>45373</v>
      </c>
      <c r="K1157" s="24">
        <v>0.8</v>
      </c>
      <c r="L1157" s="9">
        <f t="shared" si="103"/>
        <v>717</v>
      </c>
      <c r="M1157" s="4">
        <f>IF(Table3[[#This Row],[Afrondingsdatum YB]]="N/A","-",Table3[[#This Row],[Afrondingsdatum YB]]-Table3[[#This Row],[StartDatum]])</f>
        <v>45373</v>
      </c>
      <c r="N1157" s="4"/>
      <c r="O1157">
        <f t="shared" si="104"/>
        <v>97</v>
      </c>
      <c r="P1157">
        <f t="shared" si="104"/>
        <v>98</v>
      </c>
      <c r="Q1157">
        <f t="shared" si="104"/>
        <v>100</v>
      </c>
      <c r="R1157">
        <f t="shared" si="104"/>
        <v>101</v>
      </c>
      <c r="S1157">
        <f t="shared" si="104"/>
        <v>108</v>
      </c>
      <c r="T1157">
        <f t="shared" si="104"/>
        <v>105</v>
      </c>
      <c r="U1157">
        <f t="shared" si="104"/>
        <v>108</v>
      </c>
      <c r="V1157">
        <f t="shared" si="104"/>
        <v>97</v>
      </c>
      <c r="W1157" s="5">
        <f t="shared" si="101"/>
        <v>889</v>
      </c>
      <c r="X1157" s="9" t="str">
        <f t="shared" si="102"/>
        <v>b889</v>
      </c>
    </row>
    <row r="1158" spans="1:24" x14ac:dyDescent="0.2">
      <c r="A1158" s="9" t="s">
        <v>425</v>
      </c>
      <c r="B1158" s="9">
        <v>3</v>
      </c>
      <c r="C1158" s="25">
        <v>8</v>
      </c>
      <c r="D1158" s="25"/>
      <c r="E1158" s="23">
        <v>45384</v>
      </c>
      <c r="F1158" s="23" t="s">
        <v>280</v>
      </c>
      <c r="G1158" s="25" t="s">
        <v>282</v>
      </c>
      <c r="H1158" s="24">
        <v>0.02</v>
      </c>
      <c r="I1158" s="25" t="s">
        <v>325</v>
      </c>
      <c r="J1158" s="32" t="s">
        <v>7</v>
      </c>
      <c r="K1158" s="24" t="s">
        <v>9</v>
      </c>
      <c r="L1158" s="9">
        <f t="shared" si="103"/>
        <v>675</v>
      </c>
      <c r="M1158" s="4" t="str">
        <f>IF(Table3[[#This Row],[Afrondingsdatum YB]]="N/A","-",Table3[[#This Row],[Afrondingsdatum YB]]-Table3[[#This Row],[StartDatum]])</f>
        <v>-</v>
      </c>
      <c r="N1158" s="4"/>
      <c r="O1158">
        <f t="shared" si="104"/>
        <v>97</v>
      </c>
      <c r="P1158">
        <f t="shared" si="104"/>
        <v>104</v>
      </c>
      <c r="Q1158">
        <f t="shared" si="104"/>
        <v>109</v>
      </c>
      <c r="R1158">
        <f t="shared" si="104"/>
        <v>97</v>
      </c>
      <c r="S1158">
        <f t="shared" si="104"/>
        <v>100</v>
      </c>
      <c r="T1158">
        <f t="shared" si="104"/>
        <v>46</v>
      </c>
      <c r="U1158">
        <f t="shared" si="104"/>
        <v>122</v>
      </c>
      <c r="V1158">
        <f t="shared" si="104"/>
        <v>97</v>
      </c>
      <c r="W1158" s="5">
        <f t="shared" si="101"/>
        <v>865</v>
      </c>
      <c r="X1158" s="9" t="str">
        <f t="shared" si="102"/>
        <v>h865</v>
      </c>
    </row>
    <row r="1159" spans="1:24" x14ac:dyDescent="0.2">
      <c r="A1159" s="9" t="s">
        <v>425</v>
      </c>
      <c r="B1159" s="9">
        <v>3</v>
      </c>
      <c r="C1159" s="25">
        <v>8</v>
      </c>
      <c r="D1159" s="25"/>
      <c r="E1159" s="23">
        <v>45384</v>
      </c>
      <c r="F1159" s="23" t="s">
        <v>283</v>
      </c>
      <c r="G1159" s="25" t="s">
        <v>284</v>
      </c>
      <c r="H1159" s="24">
        <v>1</v>
      </c>
      <c r="I1159" s="25" t="s">
        <v>208</v>
      </c>
      <c r="J1159" s="32">
        <v>45354</v>
      </c>
      <c r="K1159" s="24">
        <v>0.8</v>
      </c>
      <c r="L1159" s="9">
        <f t="shared" si="103"/>
        <v>656</v>
      </c>
      <c r="M1159" s="4">
        <f>IF(Table3[[#This Row],[Afrondingsdatum YB]]="N/A","-",Table3[[#This Row],[Afrondingsdatum YB]]-Table3[[#This Row],[StartDatum]])</f>
        <v>45354</v>
      </c>
      <c r="N1159" s="4"/>
      <c r="O1159">
        <f t="shared" si="104"/>
        <v>65</v>
      </c>
      <c r="P1159">
        <f t="shared" si="104"/>
        <v>104</v>
      </c>
      <c r="Q1159">
        <f t="shared" si="104"/>
        <v>109</v>
      </c>
      <c r="R1159">
        <f t="shared" si="104"/>
        <v>101</v>
      </c>
      <c r="S1159">
        <f t="shared" si="104"/>
        <v>116</v>
      </c>
      <c r="T1159">
        <f t="shared" si="104"/>
        <v>46</v>
      </c>
      <c r="U1159">
        <f t="shared" si="104"/>
        <v>115</v>
      </c>
      <c r="V1159">
        <f t="shared" si="104"/>
        <v>101</v>
      </c>
      <c r="W1159" s="5">
        <f t="shared" si="101"/>
        <v>847</v>
      </c>
      <c r="X1159" s="9" t="str">
        <f t="shared" si="102"/>
        <v>h847</v>
      </c>
    </row>
    <row r="1160" spans="1:24" x14ac:dyDescent="0.2">
      <c r="A1160" s="9" t="s">
        <v>425</v>
      </c>
      <c r="B1160" s="9">
        <v>3</v>
      </c>
      <c r="C1160" s="25">
        <v>8</v>
      </c>
      <c r="D1160" s="25"/>
      <c r="E1160" s="23">
        <v>45384</v>
      </c>
      <c r="F1160" s="23" t="s">
        <v>283</v>
      </c>
      <c r="G1160" s="25" t="s">
        <v>285</v>
      </c>
      <c r="H1160" s="24">
        <v>1</v>
      </c>
      <c r="I1160" s="25" t="s">
        <v>139</v>
      </c>
      <c r="J1160" s="32">
        <v>45380</v>
      </c>
      <c r="K1160" s="24">
        <v>0.78</v>
      </c>
      <c r="L1160" s="9">
        <f t="shared" si="103"/>
        <v>747</v>
      </c>
      <c r="M1160" s="4">
        <f>IF(Table3[[#This Row],[Afrondingsdatum YB]]="N/A","-",Table3[[#This Row],[Afrondingsdatum YB]]-Table3[[#This Row],[StartDatum]])</f>
        <v>45380</v>
      </c>
      <c r="N1160" s="4"/>
      <c r="O1160">
        <f t="shared" si="104"/>
        <v>97</v>
      </c>
      <c r="P1160">
        <f t="shared" si="104"/>
        <v>110</v>
      </c>
      <c r="Q1160">
        <f t="shared" si="104"/>
        <v>97</v>
      </c>
      <c r="R1160">
        <f t="shared" si="104"/>
        <v>115</v>
      </c>
      <c r="S1160">
        <f t="shared" si="104"/>
        <v>116</v>
      </c>
      <c r="T1160">
        <f t="shared" si="104"/>
        <v>97</v>
      </c>
      <c r="U1160">
        <f t="shared" si="104"/>
        <v>115</v>
      </c>
      <c r="V1160">
        <f t="shared" si="104"/>
        <v>105</v>
      </c>
      <c r="W1160" s="5">
        <f t="shared" si="101"/>
        <v>905</v>
      </c>
      <c r="X1160" s="9" t="str">
        <f t="shared" si="102"/>
        <v>n905</v>
      </c>
    </row>
    <row r="1161" spans="1:24" x14ac:dyDescent="0.2">
      <c r="A1161" s="9" t="s">
        <v>425</v>
      </c>
      <c r="B1161" s="9">
        <v>3</v>
      </c>
      <c r="C1161" s="25">
        <v>8</v>
      </c>
      <c r="D1161" s="25"/>
      <c r="E1161" s="23">
        <v>45384</v>
      </c>
      <c r="F1161" s="23" t="s">
        <v>283</v>
      </c>
      <c r="G1161" s="25" t="s">
        <v>333</v>
      </c>
      <c r="H1161" s="24">
        <v>1</v>
      </c>
      <c r="I1161" s="25" t="s">
        <v>342</v>
      </c>
      <c r="J1161" s="32">
        <v>45382</v>
      </c>
      <c r="K1161" s="24">
        <v>0.85</v>
      </c>
      <c r="L1161" s="9">
        <f t="shared" si="103"/>
        <v>675</v>
      </c>
      <c r="M1161" s="4">
        <f>IF(Table3[[#This Row],[Afrondingsdatum YB]]="N/A","-",Table3[[#This Row],[Afrondingsdatum YB]]-Table3[[#This Row],[StartDatum]])</f>
        <v>45382</v>
      </c>
      <c r="N1161" s="4"/>
      <c r="O1161">
        <f t="shared" si="104"/>
        <v>97</v>
      </c>
      <c r="P1161">
        <f t="shared" si="104"/>
        <v>115</v>
      </c>
      <c r="Q1161">
        <f t="shared" si="104"/>
        <v>104</v>
      </c>
      <c r="R1161">
        <f t="shared" si="104"/>
        <v>114</v>
      </c>
      <c r="S1161">
        <f t="shared" si="104"/>
        <v>97</v>
      </c>
      <c r="T1161">
        <f t="shared" si="104"/>
        <v>102</v>
      </c>
      <c r="U1161">
        <f t="shared" si="104"/>
        <v>46</v>
      </c>
      <c r="V1161">
        <f t="shared" si="104"/>
        <v>104</v>
      </c>
      <c r="W1161" s="5">
        <f t="shared" si="101"/>
        <v>844</v>
      </c>
      <c r="X1161" s="9" t="str">
        <f t="shared" si="102"/>
        <v>s844</v>
      </c>
    </row>
    <row r="1162" spans="1:24" x14ac:dyDescent="0.2">
      <c r="A1162" s="9" t="s">
        <v>425</v>
      </c>
      <c r="B1162" s="9">
        <v>3</v>
      </c>
      <c r="C1162" s="25">
        <v>8</v>
      </c>
      <c r="D1162" s="25"/>
      <c r="E1162" s="23">
        <v>45384</v>
      </c>
      <c r="F1162" s="23" t="s">
        <v>283</v>
      </c>
      <c r="G1162" s="25" t="s">
        <v>286</v>
      </c>
      <c r="H1162" s="24">
        <v>1</v>
      </c>
      <c r="I1162" s="25" t="s">
        <v>238</v>
      </c>
      <c r="J1162" s="32">
        <v>45352</v>
      </c>
      <c r="K1162" s="24">
        <v>0.85</v>
      </c>
      <c r="L1162" s="9">
        <f t="shared" si="103"/>
        <v>645</v>
      </c>
      <c r="M1162" s="4">
        <f>IF(Table3[[#This Row],[Afrondingsdatum YB]]="N/A","-",Table3[[#This Row],[Afrondingsdatum YB]]-Table3[[#This Row],[StartDatum]])</f>
        <v>45352</v>
      </c>
      <c r="N1162" s="4"/>
      <c r="O1162">
        <f t="shared" si="104"/>
        <v>66</v>
      </c>
      <c r="P1162">
        <f t="shared" si="104"/>
        <v>97</v>
      </c>
      <c r="Q1162">
        <f t="shared" si="104"/>
        <v>115</v>
      </c>
      <c r="R1162">
        <f t="shared" si="104"/>
        <v>46</v>
      </c>
      <c r="S1162">
        <f t="shared" si="104"/>
        <v>107</v>
      </c>
      <c r="T1162">
        <f t="shared" si="104"/>
        <v>105</v>
      </c>
      <c r="U1162">
        <f t="shared" si="104"/>
        <v>109</v>
      </c>
      <c r="V1162">
        <f t="shared" si="104"/>
        <v>109</v>
      </c>
      <c r="W1162" s="5">
        <f t="shared" si="101"/>
        <v>901</v>
      </c>
      <c r="X1162" s="9" t="str">
        <f t="shared" si="102"/>
        <v>a901</v>
      </c>
    </row>
    <row r="1163" spans="1:24" x14ac:dyDescent="0.2">
      <c r="A1163" s="9" t="s">
        <v>425</v>
      </c>
      <c r="B1163" s="9">
        <v>3</v>
      </c>
      <c r="C1163" s="25">
        <v>8</v>
      </c>
      <c r="D1163" s="25"/>
      <c r="E1163" s="23">
        <v>45384</v>
      </c>
      <c r="F1163" s="23" t="s">
        <v>280</v>
      </c>
      <c r="G1163" s="25" t="s">
        <v>287</v>
      </c>
      <c r="H1163" s="24">
        <v>1</v>
      </c>
      <c r="I1163" s="25" t="s">
        <v>335</v>
      </c>
      <c r="J1163" s="32">
        <v>45383</v>
      </c>
      <c r="K1163" s="24">
        <v>0.9</v>
      </c>
      <c r="L1163" s="9">
        <f t="shared" si="103"/>
        <v>666</v>
      </c>
      <c r="M1163" s="4">
        <f>IF(Table3[[#This Row],[Afrondingsdatum YB]]="N/A","-",Table3[[#This Row],[Afrondingsdatum YB]]-Table3[[#This Row],[StartDatum]])</f>
        <v>45383</v>
      </c>
      <c r="N1163" s="4"/>
      <c r="O1163">
        <f t="shared" si="104"/>
        <v>100</v>
      </c>
      <c r="P1163">
        <f t="shared" si="104"/>
        <v>106</v>
      </c>
      <c r="Q1163">
        <f t="shared" si="104"/>
        <v>97</v>
      </c>
      <c r="R1163">
        <f t="shared" si="104"/>
        <v>98</v>
      </c>
      <c r="S1163">
        <f t="shared" si="104"/>
        <v>105</v>
      </c>
      <c r="T1163">
        <f t="shared" si="104"/>
        <v>114</v>
      </c>
      <c r="U1163">
        <f t="shared" si="104"/>
        <v>46</v>
      </c>
      <c r="V1163">
        <f t="shared" si="104"/>
        <v>104</v>
      </c>
      <c r="W1163" s="5">
        <f t="shared" si="101"/>
        <v>838</v>
      </c>
      <c r="X1163" s="9" t="str">
        <f t="shared" si="102"/>
        <v>j838</v>
      </c>
    </row>
    <row r="1164" spans="1:24" x14ac:dyDescent="0.2">
      <c r="A1164" s="9" t="s">
        <v>425</v>
      </c>
      <c r="B1164" s="9">
        <v>3</v>
      </c>
      <c r="C1164" s="25">
        <v>8</v>
      </c>
      <c r="D1164" s="25"/>
      <c r="E1164" s="23">
        <v>45384</v>
      </c>
      <c r="F1164" s="23" t="s">
        <v>283</v>
      </c>
      <c r="G1164" s="25" t="s">
        <v>343</v>
      </c>
      <c r="H1164" s="24">
        <v>0.93</v>
      </c>
      <c r="I1164" s="25" t="s">
        <v>344</v>
      </c>
      <c r="J1164" s="32" t="s">
        <v>7</v>
      </c>
      <c r="K1164" s="24" t="s">
        <v>9</v>
      </c>
      <c r="L1164" s="9">
        <f t="shared" si="103"/>
        <v>639</v>
      </c>
      <c r="M1164" s="4" t="str">
        <f>IF(Table3[[#This Row],[Afrondingsdatum YB]]="N/A","-",Table3[[#This Row],[Afrondingsdatum YB]]-Table3[[#This Row],[StartDatum]])</f>
        <v>-</v>
      </c>
      <c r="N1164" s="4"/>
      <c r="O1164">
        <f t="shared" si="104"/>
        <v>70</v>
      </c>
      <c r="P1164">
        <f t="shared" si="104"/>
        <v>97</v>
      </c>
      <c r="Q1164">
        <f t="shared" si="104"/>
        <v>116</v>
      </c>
      <c r="R1164">
        <f t="shared" si="104"/>
        <v>105</v>
      </c>
      <c r="S1164">
        <f t="shared" si="104"/>
        <v>109</v>
      </c>
      <c r="T1164">
        <f t="shared" si="104"/>
        <v>97</v>
      </c>
      <c r="U1164">
        <f t="shared" si="104"/>
        <v>45</v>
      </c>
      <c r="V1164">
        <f t="shared" si="104"/>
        <v>101</v>
      </c>
      <c r="W1164" s="5">
        <f t="shared" si="101"/>
        <v>845</v>
      </c>
      <c r="X1164" s="9" t="str">
        <f t="shared" si="102"/>
        <v>a845</v>
      </c>
    </row>
    <row r="1165" spans="1:24" x14ac:dyDescent="0.2">
      <c r="A1165" s="9" t="s">
        <v>425</v>
      </c>
      <c r="B1165" s="9">
        <v>3</v>
      </c>
      <c r="C1165" s="25">
        <v>8</v>
      </c>
      <c r="D1165" s="25"/>
      <c r="E1165" s="23">
        <v>45384</v>
      </c>
      <c r="F1165" s="23" t="s">
        <v>280</v>
      </c>
      <c r="G1165" s="25" t="s">
        <v>288</v>
      </c>
      <c r="H1165" s="24">
        <v>1</v>
      </c>
      <c r="I1165" s="25" t="s">
        <v>330</v>
      </c>
      <c r="J1165" s="32">
        <v>45373</v>
      </c>
      <c r="K1165" s="24">
        <v>0.8</v>
      </c>
      <c r="L1165" s="9">
        <f t="shared" si="103"/>
        <v>682</v>
      </c>
      <c r="M1165" s="4">
        <f>IF(Table3[[#This Row],[Afrondingsdatum YB]]="N/A","-",Table3[[#This Row],[Afrondingsdatum YB]]-Table3[[#This Row],[StartDatum]])</f>
        <v>45373</v>
      </c>
      <c r="N1165" s="4"/>
      <c r="O1165">
        <f t="shared" si="104"/>
        <v>103</v>
      </c>
      <c r="P1165">
        <f t="shared" si="104"/>
        <v>108</v>
      </c>
      <c r="Q1165">
        <f t="shared" si="104"/>
        <v>101</v>
      </c>
      <c r="R1165">
        <f t="shared" si="104"/>
        <v>110</v>
      </c>
      <c r="S1165">
        <f t="shared" si="104"/>
        <v>110</v>
      </c>
      <c r="T1165">
        <f t="shared" si="104"/>
        <v>46</v>
      </c>
      <c r="U1165">
        <f t="shared" si="104"/>
        <v>104</v>
      </c>
      <c r="V1165">
        <f t="shared" si="104"/>
        <v>101</v>
      </c>
      <c r="W1165" s="5">
        <f t="shared" si="101"/>
        <v>849</v>
      </c>
      <c r="X1165" s="9" t="str">
        <f t="shared" si="102"/>
        <v>l849</v>
      </c>
    </row>
    <row r="1166" spans="1:24" x14ac:dyDescent="0.2">
      <c r="A1166" s="9" t="s">
        <v>425</v>
      </c>
      <c r="B1166" s="9">
        <v>3</v>
      </c>
      <c r="C1166" s="25">
        <v>8</v>
      </c>
      <c r="D1166" s="25"/>
      <c r="E1166" s="23">
        <v>45384</v>
      </c>
      <c r="F1166" s="23" t="s">
        <v>283</v>
      </c>
      <c r="G1166" s="25" t="s">
        <v>289</v>
      </c>
      <c r="H1166" s="24">
        <v>0.27</v>
      </c>
      <c r="I1166" s="25" t="s">
        <v>260</v>
      </c>
      <c r="J1166" s="32" t="s">
        <v>7</v>
      </c>
      <c r="K1166" s="24" t="s">
        <v>9</v>
      </c>
      <c r="L1166" s="9">
        <f t="shared" si="103"/>
        <v>675</v>
      </c>
      <c r="M1166" s="4" t="str">
        <f>IF(Table3[[#This Row],[Afrondingsdatum YB]]="N/A","-",Table3[[#This Row],[Afrondingsdatum YB]]-Table3[[#This Row],[StartDatum]])</f>
        <v>-</v>
      </c>
      <c r="N1166" s="4"/>
      <c r="O1166">
        <f t="shared" si="104"/>
        <v>103</v>
      </c>
      <c r="P1166">
        <f t="shared" si="104"/>
        <v>114</v>
      </c>
      <c r="Q1166">
        <f t="shared" si="104"/>
        <v>97</v>
      </c>
      <c r="R1166">
        <f t="shared" si="104"/>
        <v>99</v>
      </c>
      <c r="S1166">
        <f t="shared" si="104"/>
        <v>101</v>
      </c>
      <c r="T1166">
        <f t="shared" si="104"/>
        <v>46</v>
      </c>
      <c r="U1166">
        <f t="shared" si="104"/>
        <v>115</v>
      </c>
      <c r="V1166">
        <f t="shared" si="104"/>
        <v>101</v>
      </c>
      <c r="W1166" s="5">
        <f t="shared" si="101"/>
        <v>839</v>
      </c>
      <c r="X1166" s="9" t="str">
        <f t="shared" si="102"/>
        <v>r839</v>
      </c>
    </row>
    <row r="1167" spans="1:24" x14ac:dyDescent="0.2">
      <c r="A1167" s="9" t="s">
        <v>425</v>
      </c>
      <c r="B1167" s="9">
        <v>3</v>
      </c>
      <c r="C1167" s="25">
        <v>8</v>
      </c>
      <c r="D1167" s="25"/>
      <c r="E1167" s="23">
        <v>45384</v>
      </c>
      <c r="F1167" s="23" t="s">
        <v>283</v>
      </c>
      <c r="G1167" s="25" t="s">
        <v>290</v>
      </c>
      <c r="H1167" s="24">
        <v>1</v>
      </c>
      <c r="I1167" s="25" t="s">
        <v>214</v>
      </c>
      <c r="J1167" s="32">
        <v>45358</v>
      </c>
      <c r="K1167" s="24">
        <v>0.78</v>
      </c>
      <c r="L1167" s="9">
        <f t="shared" si="103"/>
        <v>677</v>
      </c>
      <c r="M1167" s="4">
        <f>IF(Table3[[#This Row],[Afrondingsdatum YB]]="N/A","-",Table3[[#This Row],[Afrondingsdatum YB]]-Table3[[#This Row],[StartDatum]])</f>
        <v>45358</v>
      </c>
      <c r="N1167" s="4"/>
      <c r="O1167">
        <f t="shared" si="104"/>
        <v>105</v>
      </c>
      <c r="P1167">
        <f t="shared" si="104"/>
        <v>108</v>
      </c>
      <c r="Q1167">
        <f t="shared" si="104"/>
        <v>105</v>
      </c>
      <c r="R1167">
        <f t="shared" si="104"/>
        <v>97</v>
      </c>
      <c r="S1167">
        <f t="shared" si="104"/>
        <v>115</v>
      </c>
      <c r="T1167">
        <f t="shared" si="104"/>
        <v>46</v>
      </c>
      <c r="U1167">
        <f t="shared" si="104"/>
        <v>101</v>
      </c>
      <c r="V1167">
        <f t="shared" si="104"/>
        <v>108</v>
      </c>
      <c r="W1167" s="5">
        <f t="shared" si="101"/>
        <v>868</v>
      </c>
      <c r="X1167" s="9" t="str">
        <f t="shared" si="102"/>
        <v>l868</v>
      </c>
    </row>
    <row r="1168" spans="1:24" x14ac:dyDescent="0.2">
      <c r="A1168" s="9" t="s">
        <v>425</v>
      </c>
      <c r="B1168" s="9">
        <v>3</v>
      </c>
      <c r="C1168" s="25">
        <v>8</v>
      </c>
      <c r="D1168" s="25"/>
      <c r="E1168" s="23">
        <v>45384</v>
      </c>
      <c r="F1168" s="23" t="s">
        <v>283</v>
      </c>
      <c r="G1168" s="25" t="s">
        <v>291</v>
      </c>
      <c r="H1168" s="24">
        <v>0.89</v>
      </c>
      <c r="I1168" s="25" t="s">
        <v>101</v>
      </c>
      <c r="J1168" s="32" t="s">
        <v>7</v>
      </c>
      <c r="K1168" s="24" t="s">
        <v>9</v>
      </c>
      <c r="L1168" s="9">
        <f t="shared" si="103"/>
        <v>638</v>
      </c>
      <c r="M1168" s="4" t="str">
        <f>IF(Table3[[#This Row],[Afrondingsdatum YB]]="N/A","-",Table3[[#This Row],[Afrondingsdatum YB]]-Table3[[#This Row],[StartDatum]])</f>
        <v>-</v>
      </c>
      <c r="N1168" s="4"/>
      <c r="O1168">
        <f t="shared" si="104"/>
        <v>73</v>
      </c>
      <c r="P1168">
        <f t="shared" si="104"/>
        <v>115</v>
      </c>
      <c r="Q1168">
        <f t="shared" si="104"/>
        <v>97</v>
      </c>
      <c r="R1168">
        <f t="shared" si="104"/>
        <v>98</v>
      </c>
      <c r="S1168">
        <f t="shared" si="104"/>
        <v>101</v>
      </c>
      <c r="T1168">
        <f t="shared" si="104"/>
        <v>108</v>
      </c>
      <c r="U1168">
        <f t="shared" si="104"/>
        <v>46</v>
      </c>
      <c r="V1168">
        <f t="shared" si="104"/>
        <v>109</v>
      </c>
      <c r="W1168" s="5">
        <f t="shared" si="101"/>
        <v>810</v>
      </c>
      <c r="X1168" s="9" t="str">
        <f t="shared" si="102"/>
        <v>s810</v>
      </c>
    </row>
    <row r="1169" spans="1:24" x14ac:dyDescent="0.2">
      <c r="A1169" s="9" t="s">
        <v>425</v>
      </c>
      <c r="B1169" s="9">
        <v>3</v>
      </c>
      <c r="C1169" s="25">
        <v>8</v>
      </c>
      <c r="D1169" s="25"/>
      <c r="E1169" s="23">
        <v>45384</v>
      </c>
      <c r="F1169" s="23" t="s">
        <v>280</v>
      </c>
      <c r="G1169" s="25" t="s">
        <v>292</v>
      </c>
      <c r="H1169" s="24">
        <v>0.63</v>
      </c>
      <c r="I1169" s="25" t="s">
        <v>69</v>
      </c>
      <c r="J1169" s="32" t="s">
        <v>7</v>
      </c>
      <c r="K1169" s="24" t="s">
        <v>9</v>
      </c>
      <c r="L1169" s="9">
        <f t="shared" si="103"/>
        <v>673</v>
      </c>
      <c r="M1169" s="4" t="str">
        <f>IF(Table3[[#This Row],[Afrondingsdatum YB]]="N/A","-",Table3[[#This Row],[Afrondingsdatum YB]]-Table3[[#This Row],[StartDatum]])</f>
        <v>-</v>
      </c>
      <c r="N1169" s="4"/>
      <c r="O1169">
        <f t="shared" si="104"/>
        <v>106</v>
      </c>
      <c r="P1169">
        <f t="shared" si="104"/>
        <v>97</v>
      </c>
      <c r="Q1169">
        <f t="shared" si="104"/>
        <v>105</v>
      </c>
      <c r="R1169">
        <f t="shared" si="104"/>
        <v>114</v>
      </c>
      <c r="S1169">
        <f t="shared" si="104"/>
        <v>46</v>
      </c>
      <c r="T1169">
        <f t="shared" si="104"/>
        <v>104</v>
      </c>
      <c r="U1169">
        <f t="shared" si="104"/>
        <v>101</v>
      </c>
      <c r="V1169">
        <f t="shared" si="104"/>
        <v>107</v>
      </c>
      <c r="W1169" s="5">
        <f t="shared" si="101"/>
        <v>856</v>
      </c>
      <c r="X1169" s="9" t="str">
        <f t="shared" si="102"/>
        <v>a856</v>
      </c>
    </row>
    <row r="1170" spans="1:24" x14ac:dyDescent="0.2">
      <c r="A1170" s="9" t="s">
        <v>425</v>
      </c>
      <c r="B1170" s="9">
        <v>3</v>
      </c>
      <c r="C1170" s="25">
        <v>8</v>
      </c>
      <c r="D1170" s="25"/>
      <c r="E1170" s="23">
        <v>45384</v>
      </c>
      <c r="F1170" s="23" t="s">
        <v>283</v>
      </c>
      <c r="G1170" s="25" t="s">
        <v>293</v>
      </c>
      <c r="H1170" s="24">
        <v>1</v>
      </c>
      <c r="I1170" s="25" t="s">
        <v>314</v>
      </c>
      <c r="J1170" s="32">
        <v>45382</v>
      </c>
      <c r="K1170" s="24">
        <v>0.85</v>
      </c>
      <c r="L1170" s="9">
        <f t="shared" si="103"/>
        <v>692</v>
      </c>
      <c r="M1170" s="4">
        <f>IF(Table3[[#This Row],[Afrondingsdatum YB]]="N/A","-",Table3[[#This Row],[Afrondingsdatum YB]]-Table3[[#This Row],[StartDatum]])</f>
        <v>45382</v>
      </c>
      <c r="N1170" s="4"/>
      <c r="O1170">
        <f t="shared" si="104"/>
        <v>106</v>
      </c>
      <c r="P1170">
        <f t="shared" si="104"/>
        <v>101</v>
      </c>
      <c r="Q1170">
        <f t="shared" si="104"/>
        <v>115</v>
      </c>
      <c r="R1170">
        <f t="shared" si="104"/>
        <v>115</v>
      </c>
      <c r="S1170">
        <f t="shared" si="104"/>
        <v>101</v>
      </c>
      <c r="T1170">
        <f t="shared" si="104"/>
        <v>46</v>
      </c>
      <c r="U1170">
        <f t="shared" si="104"/>
        <v>108</v>
      </c>
      <c r="V1170">
        <f t="shared" si="104"/>
        <v>101</v>
      </c>
      <c r="W1170" s="5">
        <f t="shared" si="101"/>
        <v>886</v>
      </c>
      <c r="X1170" s="9" t="str">
        <f t="shared" si="102"/>
        <v>e886</v>
      </c>
    </row>
    <row r="1171" spans="1:24" x14ac:dyDescent="0.2">
      <c r="A1171" s="9" t="s">
        <v>425</v>
      </c>
      <c r="B1171" s="9">
        <v>3</v>
      </c>
      <c r="C1171" s="25">
        <v>8</v>
      </c>
      <c r="D1171" s="25"/>
      <c r="E1171" s="23">
        <v>45384</v>
      </c>
      <c r="F1171" s="23" t="s">
        <v>283</v>
      </c>
      <c r="G1171" s="25" t="s">
        <v>294</v>
      </c>
      <c r="H1171" s="24">
        <v>0.04</v>
      </c>
      <c r="I1171" s="25" t="s">
        <v>242</v>
      </c>
      <c r="J1171" s="32" t="s">
        <v>7</v>
      </c>
      <c r="K1171" s="24" t="s">
        <v>9</v>
      </c>
      <c r="L1171" s="9">
        <f t="shared" si="103"/>
        <v>681</v>
      </c>
      <c r="M1171" s="4" t="str">
        <f>IF(Table3[[#This Row],[Afrondingsdatum YB]]="N/A","-",Table3[[#This Row],[Afrondingsdatum YB]]-Table3[[#This Row],[StartDatum]])</f>
        <v>-</v>
      </c>
      <c r="N1171" s="4"/>
      <c r="O1171">
        <f t="shared" si="104"/>
        <v>106</v>
      </c>
      <c r="P1171">
        <f t="shared" si="104"/>
        <v>111</v>
      </c>
      <c r="Q1171">
        <f t="shared" si="104"/>
        <v>114</v>
      </c>
      <c r="R1171">
        <f t="shared" si="104"/>
        <v>100</v>
      </c>
      <c r="S1171">
        <f t="shared" si="104"/>
        <v>46</v>
      </c>
      <c r="T1171">
        <f t="shared" si="104"/>
        <v>107</v>
      </c>
      <c r="U1171">
        <f t="shared" si="104"/>
        <v>97</v>
      </c>
      <c r="V1171">
        <f t="shared" si="104"/>
        <v>114</v>
      </c>
      <c r="W1171" s="5">
        <f t="shared" si="101"/>
        <v>893</v>
      </c>
      <c r="X1171" s="9" t="str">
        <f t="shared" si="102"/>
        <v>o893</v>
      </c>
    </row>
    <row r="1172" spans="1:24" x14ac:dyDescent="0.2">
      <c r="A1172" s="9" t="s">
        <v>425</v>
      </c>
      <c r="B1172" s="9">
        <v>3</v>
      </c>
      <c r="C1172" s="25">
        <v>8</v>
      </c>
      <c r="D1172" s="25"/>
      <c r="E1172" s="23">
        <v>45384</v>
      </c>
      <c r="F1172" s="23" t="s">
        <v>280</v>
      </c>
      <c r="G1172" s="25" t="s">
        <v>295</v>
      </c>
      <c r="H1172" s="24">
        <v>1</v>
      </c>
      <c r="I1172" s="25" t="s">
        <v>342</v>
      </c>
      <c r="J1172" s="32">
        <v>45378</v>
      </c>
      <c r="K1172" s="24">
        <v>0.75</v>
      </c>
      <c r="L1172" s="9">
        <f t="shared" si="103"/>
        <v>691</v>
      </c>
      <c r="M1172" s="4">
        <f>IF(Table3[[#This Row],[Afrondingsdatum YB]]="N/A","-",Table3[[#This Row],[Afrondingsdatum YB]]-Table3[[#This Row],[StartDatum]])</f>
        <v>45378</v>
      </c>
      <c r="N1172" s="4"/>
      <c r="O1172">
        <f t="shared" si="104"/>
        <v>106</v>
      </c>
      <c r="P1172">
        <f t="shared" si="104"/>
        <v>111</v>
      </c>
      <c r="Q1172">
        <f t="shared" si="104"/>
        <v>121</v>
      </c>
      <c r="R1172">
        <f t="shared" si="104"/>
        <v>99</v>
      </c>
      <c r="S1172">
        <f t="shared" si="104"/>
        <v>101</v>
      </c>
      <c r="T1172">
        <f t="shared" si="104"/>
        <v>46</v>
      </c>
      <c r="U1172">
        <f t="shared" si="104"/>
        <v>107</v>
      </c>
      <c r="V1172">
        <f t="shared" si="104"/>
        <v>111</v>
      </c>
      <c r="W1172" s="5">
        <f t="shared" si="101"/>
        <v>914</v>
      </c>
      <c r="X1172" s="9" t="str">
        <f t="shared" si="102"/>
        <v>o914</v>
      </c>
    </row>
    <row r="1173" spans="1:24" x14ac:dyDescent="0.2">
      <c r="A1173" s="9" t="s">
        <v>425</v>
      </c>
      <c r="B1173" s="9">
        <v>3</v>
      </c>
      <c r="C1173" s="25">
        <v>8</v>
      </c>
      <c r="D1173" s="25"/>
      <c r="E1173" s="23">
        <v>45384</v>
      </c>
      <c r="F1173" s="23" t="s">
        <v>283</v>
      </c>
      <c r="G1173" s="25" t="s">
        <v>296</v>
      </c>
      <c r="H1173" s="24">
        <v>0.6</v>
      </c>
      <c r="I1173" s="25" t="s">
        <v>70</v>
      </c>
      <c r="J1173" s="32" t="s">
        <v>7</v>
      </c>
      <c r="K1173" s="24" t="s">
        <v>9</v>
      </c>
      <c r="L1173" s="9">
        <f t="shared" si="103"/>
        <v>689</v>
      </c>
      <c r="M1173" s="4" t="str">
        <f>IF(Table3[[#This Row],[Afrondingsdatum YB]]="N/A","-",Table3[[#This Row],[Afrondingsdatum YB]]-Table3[[#This Row],[StartDatum]])</f>
        <v>-</v>
      </c>
      <c r="N1173" s="4"/>
      <c r="O1173">
        <f t="shared" si="104"/>
        <v>106</v>
      </c>
      <c r="P1173">
        <f t="shared" si="104"/>
        <v>117</v>
      </c>
      <c r="Q1173">
        <f t="shared" si="104"/>
        <v>108</v>
      </c>
      <c r="R1173">
        <f t="shared" si="104"/>
        <v>105</v>
      </c>
      <c r="S1173">
        <f t="shared" si="104"/>
        <v>97</v>
      </c>
      <c r="T1173">
        <f t="shared" si="104"/>
        <v>110</v>
      </c>
      <c r="U1173">
        <f t="shared" si="104"/>
        <v>46</v>
      </c>
      <c r="V1173">
        <f t="shared" si="104"/>
        <v>109</v>
      </c>
      <c r="W1173" s="5">
        <f t="shared" si="101"/>
        <v>877</v>
      </c>
      <c r="X1173" s="9" t="str">
        <f t="shared" si="102"/>
        <v>u877</v>
      </c>
    </row>
    <row r="1174" spans="1:24" x14ac:dyDescent="0.2">
      <c r="A1174" s="9" t="s">
        <v>425</v>
      </c>
      <c r="B1174" s="9">
        <v>3</v>
      </c>
      <c r="C1174" s="25">
        <v>8</v>
      </c>
      <c r="D1174" s="25"/>
      <c r="E1174" s="23">
        <v>45384</v>
      </c>
      <c r="F1174" s="23" t="s">
        <v>283</v>
      </c>
      <c r="G1174" s="25" t="s">
        <v>297</v>
      </c>
      <c r="H1174" s="24">
        <v>7.0000000000000007E-2</v>
      </c>
      <c r="I1174" s="25" t="s">
        <v>259</v>
      </c>
      <c r="J1174" s="32" t="s">
        <v>7</v>
      </c>
      <c r="K1174" s="24" t="s">
        <v>9</v>
      </c>
      <c r="L1174" s="9">
        <f t="shared" si="103"/>
        <v>698</v>
      </c>
      <c r="M1174" s="4" t="str">
        <f>IF(Table3[[#This Row],[Afrondingsdatum YB]]="N/A","-",Table3[[#This Row],[Afrondingsdatum YB]]-Table3[[#This Row],[StartDatum]])</f>
        <v>-</v>
      </c>
      <c r="N1174" s="4"/>
      <c r="O1174">
        <f t="shared" si="104"/>
        <v>106</v>
      </c>
      <c r="P1174">
        <f t="shared" si="104"/>
        <v>117</v>
      </c>
      <c r="Q1174">
        <f t="shared" si="104"/>
        <v>114</v>
      </c>
      <c r="R1174">
        <f t="shared" si="104"/>
        <v>114</v>
      </c>
      <c r="S1174">
        <f t="shared" si="104"/>
        <v>101</v>
      </c>
      <c r="T1174">
        <f t="shared" si="104"/>
        <v>46</v>
      </c>
      <c r="U1174">
        <f t="shared" si="104"/>
        <v>100</v>
      </c>
      <c r="V1174">
        <f t="shared" si="104"/>
        <v>101</v>
      </c>
      <c r="W1174" s="5">
        <f t="shared" si="101"/>
        <v>883</v>
      </c>
      <c r="X1174" s="9" t="str">
        <f t="shared" si="102"/>
        <v>u883</v>
      </c>
    </row>
    <row r="1175" spans="1:24" x14ac:dyDescent="0.2">
      <c r="A1175" s="9" t="s">
        <v>425</v>
      </c>
      <c r="B1175" s="9">
        <v>3</v>
      </c>
      <c r="C1175" s="25">
        <v>8</v>
      </c>
      <c r="D1175" s="25"/>
      <c r="E1175" s="23">
        <v>45384</v>
      </c>
      <c r="F1175" s="23" t="s">
        <v>280</v>
      </c>
      <c r="G1175" s="25" t="s">
        <v>298</v>
      </c>
      <c r="H1175" s="24">
        <v>0.02</v>
      </c>
      <c r="I1175" s="25" t="s">
        <v>326</v>
      </c>
      <c r="J1175" s="32" t="s">
        <v>7</v>
      </c>
      <c r="K1175" s="24" t="s">
        <v>9</v>
      </c>
      <c r="L1175" s="9">
        <f t="shared" si="103"/>
        <v>685</v>
      </c>
      <c r="M1175" s="4" t="str">
        <f>IF(Table3[[#This Row],[Afrondingsdatum YB]]="N/A","-",Table3[[#This Row],[Afrondingsdatum YB]]-Table3[[#This Row],[StartDatum]])</f>
        <v>-</v>
      </c>
      <c r="N1175" s="4"/>
      <c r="O1175">
        <f t="shared" si="104"/>
        <v>75</v>
      </c>
      <c r="P1175">
        <f t="shared" si="104"/>
        <v>121</v>
      </c>
      <c r="Q1175">
        <f t="shared" si="104"/>
        <v>114</v>
      </c>
      <c r="R1175">
        <f t="shared" si="104"/>
        <v>111</v>
      </c>
      <c r="S1175">
        <f t="shared" si="104"/>
        <v>110</v>
      </c>
      <c r="T1175">
        <f t="shared" si="104"/>
        <v>46</v>
      </c>
      <c r="U1175">
        <f t="shared" si="104"/>
        <v>108</v>
      </c>
      <c r="V1175">
        <f t="shared" si="104"/>
        <v>101</v>
      </c>
      <c r="W1175" s="5">
        <f t="shared" si="101"/>
        <v>870</v>
      </c>
      <c r="X1175" s="9" t="str">
        <f t="shared" si="102"/>
        <v>y870</v>
      </c>
    </row>
    <row r="1176" spans="1:24" x14ac:dyDescent="0.2">
      <c r="A1176" s="9" t="s">
        <v>425</v>
      </c>
      <c r="B1176" s="9">
        <v>3</v>
      </c>
      <c r="C1176" s="25">
        <v>8</v>
      </c>
      <c r="D1176" s="25"/>
      <c r="E1176" s="23">
        <v>45384</v>
      </c>
      <c r="F1176" s="23" t="s">
        <v>280</v>
      </c>
      <c r="G1176" s="25" t="s">
        <v>300</v>
      </c>
      <c r="H1176" s="24">
        <v>0</v>
      </c>
      <c r="I1176" s="25" t="s">
        <v>8</v>
      </c>
      <c r="J1176" s="32" t="s">
        <v>7</v>
      </c>
      <c r="K1176" s="24" t="s">
        <v>9</v>
      </c>
      <c r="L1176" s="9">
        <f t="shared" si="103"/>
        <v>761</v>
      </c>
      <c r="M1176" s="4" t="str">
        <f>IF(Table3[[#This Row],[Afrondingsdatum YB]]="N/A","-",Table3[[#This Row],[Afrondingsdatum YB]]-Table3[[#This Row],[StartDatum]])</f>
        <v>-</v>
      </c>
      <c r="N1176" s="4"/>
      <c r="O1176">
        <f t="shared" si="104"/>
        <v>108</v>
      </c>
      <c r="P1176">
        <f t="shared" si="104"/>
        <v>117</v>
      </c>
      <c r="Q1176">
        <f t="shared" si="104"/>
        <v>99</v>
      </c>
      <c r="R1176">
        <f t="shared" si="104"/>
        <v>105</v>
      </c>
      <c r="S1176">
        <f t="shared" si="104"/>
        <v>97</v>
      </c>
      <c r="T1176">
        <f t="shared" si="104"/>
        <v>121</v>
      </c>
      <c r="U1176">
        <f t="shared" si="104"/>
        <v>114</v>
      </c>
      <c r="V1176">
        <f t="shared" si="104"/>
        <v>111</v>
      </c>
      <c r="W1176" s="5">
        <f t="shared" si="101"/>
        <v>933</v>
      </c>
      <c r="X1176" s="9" t="str">
        <f t="shared" si="102"/>
        <v>u933</v>
      </c>
    </row>
    <row r="1177" spans="1:24" x14ac:dyDescent="0.2">
      <c r="A1177" s="9" t="s">
        <v>425</v>
      </c>
      <c r="B1177" s="9">
        <v>3</v>
      </c>
      <c r="C1177" s="25">
        <v>8</v>
      </c>
      <c r="D1177" s="25"/>
      <c r="E1177" s="23">
        <v>45384</v>
      </c>
      <c r="F1177" s="23" t="s">
        <v>283</v>
      </c>
      <c r="G1177" s="25" t="s">
        <v>301</v>
      </c>
      <c r="H1177" s="24">
        <v>1</v>
      </c>
      <c r="I1177" s="25" t="s">
        <v>345</v>
      </c>
      <c r="J1177" s="32">
        <v>45380</v>
      </c>
      <c r="K1177" s="24">
        <v>0.78</v>
      </c>
      <c r="L1177" s="9">
        <f t="shared" si="103"/>
        <v>762</v>
      </c>
      <c r="M1177" s="4">
        <f>IF(Table3[[#This Row],[Afrondingsdatum YB]]="N/A","-",Table3[[#This Row],[Afrondingsdatum YB]]-Table3[[#This Row],[StartDatum]])</f>
        <v>45380</v>
      </c>
      <c r="N1177" s="4"/>
      <c r="O1177">
        <f t="shared" si="104"/>
        <v>108</v>
      </c>
      <c r="P1177">
        <f t="shared" si="104"/>
        <v>121</v>
      </c>
      <c r="Q1177">
        <f t="shared" si="104"/>
        <v>115</v>
      </c>
      <c r="R1177">
        <f t="shared" si="104"/>
        <v>97</v>
      </c>
      <c r="S1177">
        <f t="shared" si="104"/>
        <v>110</v>
      </c>
      <c r="T1177">
        <f t="shared" si="104"/>
        <v>110</v>
      </c>
      <c r="U1177">
        <f t="shared" si="104"/>
        <v>101</v>
      </c>
      <c r="V1177">
        <f t="shared" si="104"/>
        <v>46</v>
      </c>
      <c r="W1177" s="5">
        <f t="shared" si="101"/>
        <v>905</v>
      </c>
      <c r="X1177" s="9" t="str">
        <f t="shared" si="102"/>
        <v>y905</v>
      </c>
    </row>
    <row r="1178" spans="1:24" x14ac:dyDescent="0.2">
      <c r="A1178" s="9" t="s">
        <v>425</v>
      </c>
      <c r="B1178" s="9">
        <v>3</v>
      </c>
      <c r="C1178" s="25">
        <v>8</v>
      </c>
      <c r="D1178" s="25"/>
      <c r="E1178" s="23">
        <v>45384</v>
      </c>
      <c r="F1178" s="23" t="s">
        <v>283</v>
      </c>
      <c r="G1178" s="25" t="s">
        <v>302</v>
      </c>
      <c r="H1178" s="24">
        <v>1</v>
      </c>
      <c r="I1178" s="25" t="s">
        <v>207</v>
      </c>
      <c r="J1178" s="32">
        <v>45348</v>
      </c>
      <c r="K1178" s="24">
        <v>0.95</v>
      </c>
      <c r="L1178" s="9">
        <f t="shared" si="103"/>
        <v>697</v>
      </c>
      <c r="M1178" s="4">
        <f>IF(Table3[[#This Row],[Afrondingsdatum YB]]="N/A","-",Table3[[#This Row],[Afrondingsdatum YB]]-Table3[[#This Row],[StartDatum]])</f>
        <v>45348</v>
      </c>
      <c r="N1178" s="4"/>
      <c r="O1178">
        <f t="shared" si="104"/>
        <v>109</v>
      </c>
      <c r="P1178">
        <f t="shared" si="104"/>
        <v>101</v>
      </c>
      <c r="Q1178">
        <f t="shared" si="104"/>
        <v>108</v>
      </c>
      <c r="R1178">
        <f t="shared" si="104"/>
        <v>118</v>
      </c>
      <c r="S1178">
        <f t="shared" si="104"/>
        <v>105</v>
      </c>
      <c r="T1178">
        <f t="shared" si="104"/>
        <v>110</v>
      </c>
      <c r="U1178">
        <f t="shared" si="104"/>
        <v>46</v>
      </c>
      <c r="V1178">
        <f t="shared" si="104"/>
        <v>98</v>
      </c>
      <c r="W1178" s="5">
        <f t="shared" si="101"/>
        <v>872</v>
      </c>
      <c r="X1178" s="9" t="str">
        <f t="shared" si="102"/>
        <v>e872</v>
      </c>
    </row>
    <row r="1179" spans="1:24" x14ac:dyDescent="0.2">
      <c r="A1179" s="9" t="s">
        <v>425</v>
      </c>
      <c r="B1179" s="9">
        <v>3</v>
      </c>
      <c r="C1179" s="25">
        <v>8</v>
      </c>
      <c r="D1179" s="25"/>
      <c r="E1179" s="23">
        <v>45384</v>
      </c>
      <c r="F1179" s="23" t="s">
        <v>280</v>
      </c>
      <c r="G1179" s="25" t="s">
        <v>339</v>
      </c>
      <c r="H1179" s="24">
        <v>0</v>
      </c>
      <c r="I1179" s="25" t="s">
        <v>8</v>
      </c>
      <c r="J1179" s="32" t="s">
        <v>7</v>
      </c>
      <c r="K1179" s="24" t="s">
        <v>9</v>
      </c>
      <c r="L1179" s="9">
        <f t="shared" si="103"/>
        <v>731</v>
      </c>
      <c r="M1179" s="4" t="str">
        <f>IF(Table3[[#This Row],[Afrondingsdatum YB]]="N/A","-",Table3[[#This Row],[Afrondingsdatum YB]]-Table3[[#This Row],[StartDatum]])</f>
        <v>-</v>
      </c>
      <c r="N1179" s="4"/>
      <c r="O1179">
        <f t="shared" si="104"/>
        <v>109</v>
      </c>
      <c r="P1179">
        <f t="shared" si="104"/>
        <v>111</v>
      </c>
      <c r="Q1179">
        <f t="shared" si="104"/>
        <v>104</v>
      </c>
      <c r="R1179">
        <f t="shared" si="104"/>
        <v>97</v>
      </c>
      <c r="S1179">
        <f t="shared" si="104"/>
        <v>109</v>
      </c>
      <c r="T1179">
        <f t="shared" si="104"/>
        <v>101</v>
      </c>
      <c r="U1179">
        <f t="shared" si="104"/>
        <v>100</v>
      </c>
      <c r="V1179">
        <f t="shared" si="104"/>
        <v>46</v>
      </c>
      <c r="W1179" s="5">
        <f t="shared" si="101"/>
        <v>857</v>
      </c>
      <c r="X1179" s="9" t="str">
        <f t="shared" si="102"/>
        <v>o857</v>
      </c>
    </row>
    <row r="1180" spans="1:24" x14ac:dyDescent="0.2">
      <c r="A1180" s="9" t="s">
        <v>425</v>
      </c>
      <c r="B1180" s="9">
        <v>3</v>
      </c>
      <c r="C1180" s="25">
        <v>8</v>
      </c>
      <c r="D1180" s="25"/>
      <c r="E1180" s="23">
        <v>45384</v>
      </c>
      <c r="F1180" s="23" t="s">
        <v>283</v>
      </c>
      <c r="G1180" s="25" t="s">
        <v>303</v>
      </c>
      <c r="H1180" s="24">
        <v>1</v>
      </c>
      <c r="I1180" s="25" t="s">
        <v>185</v>
      </c>
      <c r="J1180" s="32">
        <v>45383</v>
      </c>
      <c r="K1180" s="24">
        <v>0.75</v>
      </c>
      <c r="L1180" s="9">
        <f t="shared" si="103"/>
        <v>691</v>
      </c>
      <c r="M1180" s="4">
        <f>IF(Table3[[#This Row],[Afrondingsdatum YB]]="N/A","-",Table3[[#This Row],[Afrondingsdatum YB]]-Table3[[#This Row],[StartDatum]])</f>
        <v>45383</v>
      </c>
      <c r="N1180" s="4"/>
      <c r="O1180">
        <f t="shared" si="104"/>
        <v>109</v>
      </c>
      <c r="P1180">
        <f t="shared" si="104"/>
        <v>111</v>
      </c>
      <c r="Q1180">
        <f t="shared" si="104"/>
        <v>104</v>
      </c>
      <c r="R1180">
        <f t="shared" si="104"/>
        <v>105</v>
      </c>
      <c r="S1180">
        <f t="shared" si="104"/>
        <v>116</v>
      </c>
      <c r="T1180">
        <f t="shared" si="104"/>
        <v>46</v>
      </c>
      <c r="U1180">
        <f t="shared" si="104"/>
        <v>100</v>
      </c>
      <c r="V1180">
        <f t="shared" si="104"/>
        <v>97</v>
      </c>
      <c r="W1180" s="5">
        <f t="shared" si="101"/>
        <v>862</v>
      </c>
      <c r="X1180" s="9" t="str">
        <f t="shared" si="102"/>
        <v>o862</v>
      </c>
    </row>
    <row r="1181" spans="1:24" x14ac:dyDescent="0.2">
      <c r="A1181" s="9" t="s">
        <v>425</v>
      </c>
      <c r="B1181" s="9">
        <v>3</v>
      </c>
      <c r="C1181" s="25">
        <v>8</v>
      </c>
      <c r="D1181" s="25"/>
      <c r="E1181" s="23">
        <v>45384</v>
      </c>
      <c r="F1181" s="23" t="s">
        <v>280</v>
      </c>
      <c r="G1181" s="25" t="s">
        <v>304</v>
      </c>
      <c r="H1181" s="24">
        <v>0.22</v>
      </c>
      <c r="I1181" s="25" t="s">
        <v>328</v>
      </c>
      <c r="J1181" s="32" t="s">
        <v>7</v>
      </c>
      <c r="K1181" s="24" t="s">
        <v>9</v>
      </c>
      <c r="L1181" s="9">
        <f t="shared" si="103"/>
        <v>706</v>
      </c>
      <c r="M1181" s="4" t="str">
        <f>IF(Table3[[#This Row],[Afrondingsdatum YB]]="N/A","-",Table3[[#This Row],[Afrondingsdatum YB]]-Table3[[#This Row],[StartDatum]])</f>
        <v>-</v>
      </c>
      <c r="N1181" s="4"/>
      <c r="O1181">
        <f t="shared" si="104"/>
        <v>109</v>
      </c>
      <c r="P1181">
        <f t="shared" si="104"/>
        <v>111</v>
      </c>
      <c r="Q1181">
        <f t="shared" si="104"/>
        <v>108</v>
      </c>
      <c r="R1181">
        <f t="shared" si="104"/>
        <v>105</v>
      </c>
      <c r="S1181">
        <f t="shared" si="104"/>
        <v>116</v>
      </c>
      <c r="T1181">
        <f t="shared" si="104"/>
        <v>111</v>
      </c>
      <c r="U1181">
        <f t="shared" si="104"/>
        <v>46</v>
      </c>
      <c r="V1181">
        <f t="shared" si="104"/>
        <v>102</v>
      </c>
      <c r="W1181" s="5">
        <f t="shared" si="101"/>
        <v>890</v>
      </c>
      <c r="X1181" s="9" t="str">
        <f t="shared" si="102"/>
        <v>o890</v>
      </c>
    </row>
    <row r="1182" spans="1:24" x14ac:dyDescent="0.2">
      <c r="A1182" s="9" t="s">
        <v>425</v>
      </c>
      <c r="B1182" s="9">
        <v>3</v>
      </c>
      <c r="C1182" s="25">
        <v>8</v>
      </c>
      <c r="D1182" s="25"/>
      <c r="E1182" s="23">
        <v>45384</v>
      </c>
      <c r="F1182" s="23" t="s">
        <v>283</v>
      </c>
      <c r="G1182" s="25" t="s">
        <v>305</v>
      </c>
      <c r="H1182" s="24">
        <v>1</v>
      </c>
      <c r="I1182" s="25" t="s">
        <v>346</v>
      </c>
      <c r="J1182" s="32">
        <v>45377</v>
      </c>
      <c r="K1182" s="24">
        <v>0.83</v>
      </c>
      <c r="L1182" s="9">
        <f t="shared" si="103"/>
        <v>726</v>
      </c>
      <c r="M1182" s="4">
        <f>IF(Table3[[#This Row],[Afrondingsdatum YB]]="N/A","-",Table3[[#This Row],[Afrondingsdatum YB]]-Table3[[#This Row],[StartDatum]])</f>
        <v>45377</v>
      </c>
      <c r="N1182" s="4"/>
      <c r="O1182">
        <f t="shared" si="104"/>
        <v>77</v>
      </c>
      <c r="P1182">
        <f t="shared" si="104"/>
        <v>117</v>
      </c>
      <c r="Q1182">
        <f t="shared" si="104"/>
        <v>100</v>
      </c>
      <c r="R1182">
        <f t="shared" si="104"/>
        <v>97</v>
      </c>
      <c r="S1182">
        <f t="shared" si="104"/>
        <v>115</v>
      </c>
      <c r="T1182">
        <f t="shared" si="104"/>
        <v>115</v>
      </c>
      <c r="U1182">
        <f t="shared" si="104"/>
        <v>105</v>
      </c>
      <c r="V1182">
        <f t="shared" si="104"/>
        <v>114</v>
      </c>
      <c r="W1182" s="5">
        <f t="shared" si="101"/>
        <v>909</v>
      </c>
      <c r="X1182" s="9" t="str">
        <f t="shared" si="102"/>
        <v>u909</v>
      </c>
    </row>
    <row r="1183" spans="1:24" x14ac:dyDescent="0.2">
      <c r="A1183" s="9" t="s">
        <v>425</v>
      </c>
      <c r="B1183" s="9">
        <v>3</v>
      </c>
      <c r="C1183" s="25">
        <v>8</v>
      </c>
      <c r="D1183" s="25"/>
      <c r="E1183" s="23">
        <v>45384</v>
      </c>
      <c r="F1183" s="23" t="s">
        <v>280</v>
      </c>
      <c r="G1183" s="25" t="s">
        <v>306</v>
      </c>
      <c r="H1183" s="24">
        <v>0.53</v>
      </c>
      <c r="I1183" s="25" t="s">
        <v>269</v>
      </c>
      <c r="J1183" s="32" t="s">
        <v>7</v>
      </c>
      <c r="K1183" s="24" t="s">
        <v>9</v>
      </c>
      <c r="L1183" s="9">
        <f t="shared" si="103"/>
        <v>684</v>
      </c>
      <c r="M1183" s="4" t="str">
        <f>IF(Table3[[#This Row],[Afrondingsdatum YB]]="N/A","-",Table3[[#This Row],[Afrondingsdatum YB]]-Table3[[#This Row],[StartDatum]])</f>
        <v>-</v>
      </c>
      <c r="N1183" s="4"/>
      <c r="O1183">
        <f t="shared" si="104"/>
        <v>110</v>
      </c>
      <c r="P1183">
        <f t="shared" si="104"/>
        <v>97</v>
      </c>
      <c r="Q1183">
        <f t="shared" si="104"/>
        <v>114</v>
      </c>
      <c r="R1183">
        <f t="shared" si="104"/>
        <v>101</v>
      </c>
      <c r="S1183">
        <f t="shared" si="104"/>
        <v>107</v>
      </c>
      <c r="T1183">
        <f t="shared" si="104"/>
        <v>46</v>
      </c>
      <c r="U1183">
        <f t="shared" si="104"/>
        <v>109</v>
      </c>
      <c r="V1183">
        <f t="shared" si="104"/>
        <v>97</v>
      </c>
      <c r="W1183" s="5">
        <f t="shared" si="101"/>
        <v>885</v>
      </c>
      <c r="X1183" s="9" t="str">
        <f t="shared" si="102"/>
        <v>a885</v>
      </c>
    </row>
    <row r="1184" spans="1:24" x14ac:dyDescent="0.2">
      <c r="A1184" s="9" t="s">
        <v>425</v>
      </c>
      <c r="B1184" s="9">
        <v>3</v>
      </c>
      <c r="C1184" s="25">
        <v>8</v>
      </c>
      <c r="D1184" s="25"/>
      <c r="E1184" s="23">
        <v>45384</v>
      </c>
      <c r="F1184" s="23" t="s">
        <v>280</v>
      </c>
      <c r="G1184" s="25" t="s">
        <v>347</v>
      </c>
      <c r="H1184" s="24">
        <v>0.05</v>
      </c>
      <c r="I1184" s="25" t="s">
        <v>96</v>
      </c>
      <c r="J1184" s="32" t="s">
        <v>7</v>
      </c>
      <c r="K1184" s="24" t="s">
        <v>9</v>
      </c>
      <c r="L1184" s="9">
        <f t="shared" si="103"/>
        <v>672</v>
      </c>
      <c r="M1184" s="4" t="str">
        <f>IF(Table3[[#This Row],[Afrondingsdatum YB]]="N/A","-",Table3[[#This Row],[Afrondingsdatum YB]]-Table3[[#This Row],[StartDatum]])</f>
        <v>-</v>
      </c>
      <c r="N1184" s="4"/>
      <c r="O1184">
        <f t="shared" si="104"/>
        <v>111</v>
      </c>
      <c r="P1184">
        <f t="shared" si="104"/>
        <v>109</v>
      </c>
      <c r="Q1184">
        <f t="shared" si="104"/>
        <v>97</v>
      </c>
      <c r="R1184">
        <f t="shared" si="104"/>
        <v>114</v>
      </c>
      <c r="S1184">
        <f t="shared" si="104"/>
        <v>46</v>
      </c>
      <c r="T1184">
        <f t="shared" si="104"/>
        <v>97</v>
      </c>
      <c r="U1184">
        <f t="shared" si="104"/>
        <v>98</v>
      </c>
      <c r="V1184">
        <f t="shared" si="104"/>
        <v>100</v>
      </c>
      <c r="W1184" s="5">
        <f t="shared" si="101"/>
        <v>826</v>
      </c>
      <c r="X1184" s="9" t="str">
        <f t="shared" si="102"/>
        <v>m826</v>
      </c>
    </row>
    <row r="1185" spans="1:24" x14ac:dyDescent="0.2">
      <c r="A1185" s="9" t="s">
        <v>425</v>
      </c>
      <c r="B1185" s="9">
        <v>3</v>
      </c>
      <c r="C1185" s="25">
        <v>8</v>
      </c>
      <c r="D1185" s="25"/>
      <c r="E1185" s="23">
        <v>45384</v>
      </c>
      <c r="F1185" s="23" t="s">
        <v>283</v>
      </c>
      <c r="G1185" s="25" t="s">
        <v>307</v>
      </c>
      <c r="H1185" s="24">
        <v>1</v>
      </c>
      <c r="I1185" s="25" t="s">
        <v>243</v>
      </c>
      <c r="J1185" s="32">
        <v>45345</v>
      </c>
      <c r="K1185" s="24">
        <v>0.98</v>
      </c>
      <c r="L1185" s="9">
        <f t="shared" si="103"/>
        <v>695</v>
      </c>
      <c r="M1185" s="4">
        <f>IF(Table3[[#This Row],[Afrondingsdatum YB]]="N/A","-",Table3[[#This Row],[Afrondingsdatum YB]]-Table3[[#This Row],[StartDatum]])</f>
        <v>45345</v>
      </c>
      <c r="N1185" s="4"/>
      <c r="O1185">
        <f t="shared" si="104"/>
        <v>114</v>
      </c>
      <c r="P1185">
        <f t="shared" si="104"/>
        <v>101</v>
      </c>
      <c r="Q1185">
        <f t="shared" si="104"/>
        <v>109</v>
      </c>
      <c r="R1185">
        <f t="shared" si="104"/>
        <v>121</v>
      </c>
      <c r="S1185">
        <f t="shared" si="104"/>
        <v>46</v>
      </c>
      <c r="T1185">
        <f t="shared" si="104"/>
        <v>97</v>
      </c>
      <c r="U1185">
        <f t="shared" si="104"/>
        <v>107</v>
      </c>
      <c r="V1185">
        <f t="shared" si="104"/>
        <v>98</v>
      </c>
      <c r="W1185" s="5">
        <f t="shared" si="101"/>
        <v>870</v>
      </c>
      <c r="X1185" s="9" t="str">
        <f t="shared" si="102"/>
        <v>e870</v>
      </c>
    </row>
    <row r="1186" spans="1:24" x14ac:dyDescent="0.2">
      <c r="A1186" s="9" t="s">
        <v>425</v>
      </c>
      <c r="B1186" s="9">
        <v>3</v>
      </c>
      <c r="C1186" s="25">
        <v>8</v>
      </c>
      <c r="D1186" s="25"/>
      <c r="E1186" s="23">
        <v>45384</v>
      </c>
      <c r="F1186" s="23" t="s">
        <v>283</v>
      </c>
      <c r="G1186" s="25" t="s">
        <v>348</v>
      </c>
      <c r="H1186" s="24">
        <v>1</v>
      </c>
      <c r="I1186" s="25" t="s">
        <v>205</v>
      </c>
      <c r="J1186" s="32">
        <v>45378</v>
      </c>
      <c r="K1186" s="24">
        <v>0.73</v>
      </c>
      <c r="L1186" s="9">
        <f t="shared" si="103"/>
        <v>766</v>
      </c>
      <c r="M1186" s="4">
        <f>IF(Table3[[#This Row],[Afrondingsdatum YB]]="N/A","-",Table3[[#This Row],[Afrondingsdatum YB]]-Table3[[#This Row],[StartDatum]])</f>
        <v>45378</v>
      </c>
      <c r="N1186" s="4"/>
      <c r="O1186">
        <f t="shared" si="104"/>
        <v>114</v>
      </c>
      <c r="P1186">
        <f t="shared" si="104"/>
        <v>111</v>
      </c>
      <c r="Q1186">
        <f t="shared" ref="P1186:V1222" si="105">CODE(MID($G1186,Q$1,1))</f>
        <v>109</v>
      </c>
      <c r="R1186">
        <f t="shared" si="105"/>
        <v>97</v>
      </c>
      <c r="S1186">
        <f t="shared" si="105"/>
        <v>105</v>
      </c>
      <c r="T1186">
        <f t="shared" si="105"/>
        <v>115</v>
      </c>
      <c r="U1186">
        <f t="shared" si="105"/>
        <v>115</v>
      </c>
      <c r="V1186">
        <f t="shared" si="105"/>
        <v>97</v>
      </c>
      <c r="W1186" s="5">
        <f t="shared" si="101"/>
        <v>953</v>
      </c>
      <c r="X1186" s="9" t="str">
        <f t="shared" si="102"/>
        <v>o953</v>
      </c>
    </row>
    <row r="1187" spans="1:24" x14ac:dyDescent="0.2">
      <c r="A1187" s="9" t="s">
        <v>425</v>
      </c>
      <c r="B1187" s="9">
        <v>3</v>
      </c>
      <c r="C1187" s="25">
        <v>8</v>
      </c>
      <c r="D1187" s="25"/>
      <c r="E1187" s="23">
        <v>45384</v>
      </c>
      <c r="F1187" s="23" t="s">
        <v>280</v>
      </c>
      <c r="G1187" s="25" t="s">
        <v>308</v>
      </c>
      <c r="H1187" s="24">
        <v>0</v>
      </c>
      <c r="I1187" s="25" t="s">
        <v>8</v>
      </c>
      <c r="J1187" s="32" t="s">
        <v>7</v>
      </c>
      <c r="K1187" s="24" t="s">
        <v>9</v>
      </c>
      <c r="L1187" s="9">
        <f t="shared" si="103"/>
        <v>712</v>
      </c>
      <c r="M1187" s="4" t="str">
        <f>IF(Table3[[#This Row],[Afrondingsdatum YB]]="N/A","-",Table3[[#This Row],[Afrondingsdatum YB]]-Table3[[#This Row],[StartDatum]])</f>
        <v>-</v>
      </c>
      <c r="N1187" s="4"/>
      <c r="O1187">
        <f t="shared" ref="O1187:O1250" si="106">CODE(MID($G1187,O$1,1))</f>
        <v>114</v>
      </c>
      <c r="P1187">
        <f t="shared" si="105"/>
        <v>111</v>
      </c>
      <c r="Q1187">
        <f t="shared" si="105"/>
        <v>119</v>
      </c>
      <c r="R1187">
        <f t="shared" si="105"/>
        <v>97</v>
      </c>
      <c r="S1187">
        <f t="shared" si="105"/>
        <v>110</v>
      </c>
      <c r="T1187">
        <f t="shared" si="105"/>
        <v>46</v>
      </c>
      <c r="U1187">
        <f t="shared" si="105"/>
        <v>115</v>
      </c>
      <c r="V1187">
        <f t="shared" si="105"/>
        <v>97</v>
      </c>
      <c r="W1187" s="5">
        <f t="shared" si="101"/>
        <v>919</v>
      </c>
      <c r="X1187" s="9" t="str">
        <f t="shared" si="102"/>
        <v>o919</v>
      </c>
    </row>
    <row r="1188" spans="1:24" x14ac:dyDescent="0.2">
      <c r="A1188" s="9" t="s">
        <v>425</v>
      </c>
      <c r="B1188" s="9">
        <v>3</v>
      </c>
      <c r="C1188" s="25">
        <v>8</v>
      </c>
      <c r="D1188" s="25"/>
      <c r="E1188" s="23">
        <v>45384</v>
      </c>
      <c r="F1188" s="23" t="s">
        <v>283</v>
      </c>
      <c r="G1188" s="25" t="s">
        <v>309</v>
      </c>
      <c r="H1188" s="24">
        <v>0.99</v>
      </c>
      <c r="I1188" s="25" t="s">
        <v>349</v>
      </c>
      <c r="J1188" s="32" t="s">
        <v>7</v>
      </c>
      <c r="K1188" s="24" t="s">
        <v>9</v>
      </c>
      <c r="L1188" s="9">
        <f t="shared" si="103"/>
        <v>736</v>
      </c>
      <c r="M1188" s="4" t="str">
        <f>IF(Table3[[#This Row],[Afrondingsdatum YB]]="N/A","-",Table3[[#This Row],[Afrondingsdatum YB]]-Table3[[#This Row],[StartDatum]])</f>
        <v>-</v>
      </c>
      <c r="N1188" s="4"/>
      <c r="O1188">
        <f t="shared" si="106"/>
        <v>115</v>
      </c>
      <c r="P1188">
        <f t="shared" si="105"/>
        <v>97</v>
      </c>
      <c r="Q1188">
        <f t="shared" si="105"/>
        <v>121</v>
      </c>
      <c r="R1188">
        <f t="shared" si="105"/>
        <v>102</v>
      </c>
      <c r="S1188">
        <f t="shared" si="105"/>
        <v>101</v>
      </c>
      <c r="T1188">
        <f t="shared" si="105"/>
        <v>100</v>
      </c>
      <c r="U1188">
        <f t="shared" si="105"/>
        <v>100</v>
      </c>
      <c r="V1188">
        <f t="shared" si="105"/>
        <v>105</v>
      </c>
      <c r="W1188" s="5">
        <f t="shared" si="101"/>
        <v>958</v>
      </c>
      <c r="X1188" s="9" t="str">
        <f t="shared" si="102"/>
        <v>a958</v>
      </c>
    </row>
    <row r="1189" spans="1:24" x14ac:dyDescent="0.2">
      <c r="A1189" s="9" t="s">
        <v>425</v>
      </c>
      <c r="B1189" s="9">
        <v>3</v>
      </c>
      <c r="C1189" s="25">
        <v>8</v>
      </c>
      <c r="D1189" s="25"/>
      <c r="E1189" s="23">
        <v>45384</v>
      </c>
      <c r="F1189" s="23" t="s">
        <v>280</v>
      </c>
      <c r="G1189" s="25" t="s">
        <v>318</v>
      </c>
      <c r="H1189" s="24">
        <v>0.39</v>
      </c>
      <c r="I1189" s="25" t="s">
        <v>330</v>
      </c>
      <c r="J1189" s="32" t="s">
        <v>7</v>
      </c>
      <c r="K1189" s="24" t="s">
        <v>9</v>
      </c>
      <c r="L1189" s="9">
        <f t="shared" si="103"/>
        <v>672</v>
      </c>
      <c r="M1189" s="4" t="str">
        <f>IF(Table3[[#This Row],[Afrondingsdatum YB]]="N/A","-",Table3[[#This Row],[Afrondingsdatum YB]]-Table3[[#This Row],[StartDatum]])</f>
        <v>-</v>
      </c>
      <c r="N1189" s="4"/>
      <c r="O1189">
        <f t="shared" si="106"/>
        <v>115</v>
      </c>
      <c r="P1189">
        <f t="shared" si="105"/>
        <v>101</v>
      </c>
      <c r="Q1189">
        <f t="shared" si="105"/>
        <v>98</v>
      </c>
      <c r="R1189">
        <f t="shared" si="105"/>
        <v>97</v>
      </c>
      <c r="S1189">
        <f t="shared" si="105"/>
        <v>115</v>
      </c>
      <c r="T1189">
        <f t="shared" si="105"/>
        <v>46</v>
      </c>
      <c r="U1189">
        <f t="shared" si="105"/>
        <v>100</v>
      </c>
      <c r="V1189">
        <f t="shared" si="105"/>
        <v>101</v>
      </c>
      <c r="W1189" s="5">
        <f t="shared" si="101"/>
        <v>846</v>
      </c>
      <c r="X1189" s="9" t="str">
        <f t="shared" si="102"/>
        <v>e846</v>
      </c>
    </row>
    <row r="1190" spans="1:24" x14ac:dyDescent="0.2">
      <c r="A1190" s="9" t="s">
        <v>425</v>
      </c>
      <c r="B1190" s="9">
        <v>3</v>
      </c>
      <c r="C1190" s="25">
        <v>8</v>
      </c>
      <c r="D1190" s="25"/>
      <c r="E1190" s="23">
        <v>45384</v>
      </c>
      <c r="F1190" s="23" t="s">
        <v>283</v>
      </c>
      <c r="G1190" s="25" t="s">
        <v>310</v>
      </c>
      <c r="H1190" s="24">
        <v>0.14000000000000001</v>
      </c>
      <c r="I1190" s="25" t="s">
        <v>255</v>
      </c>
      <c r="J1190" s="32" t="s">
        <v>7</v>
      </c>
      <c r="K1190" s="24" t="s">
        <v>9</v>
      </c>
      <c r="L1190" s="9">
        <f t="shared" si="103"/>
        <v>724</v>
      </c>
      <c r="M1190" s="4" t="str">
        <f>IF(Table3[[#This Row],[Afrondingsdatum YB]]="N/A","-",Table3[[#This Row],[Afrondingsdatum YB]]-Table3[[#This Row],[StartDatum]])</f>
        <v>-</v>
      </c>
      <c r="N1190" s="4"/>
      <c r="O1190">
        <f t="shared" si="106"/>
        <v>116</v>
      </c>
      <c r="P1190">
        <f t="shared" si="105"/>
        <v>111</v>
      </c>
      <c r="Q1190">
        <f t="shared" si="105"/>
        <v>109</v>
      </c>
      <c r="R1190">
        <f t="shared" si="105"/>
        <v>109</v>
      </c>
      <c r="S1190">
        <f t="shared" si="105"/>
        <v>121</v>
      </c>
      <c r="T1190">
        <f t="shared" si="105"/>
        <v>46</v>
      </c>
      <c r="U1190">
        <f t="shared" si="105"/>
        <v>112</v>
      </c>
      <c r="V1190">
        <f t="shared" si="105"/>
        <v>111</v>
      </c>
      <c r="W1190" s="5">
        <f t="shared" si="101"/>
        <v>916</v>
      </c>
      <c r="X1190" s="9" t="str">
        <f t="shared" si="102"/>
        <v>o916</v>
      </c>
    </row>
    <row r="1191" spans="1:24" x14ac:dyDescent="0.2">
      <c r="A1191" s="9" t="s">
        <v>425</v>
      </c>
      <c r="B1191" s="9">
        <v>3</v>
      </c>
      <c r="C1191" s="25">
        <v>8</v>
      </c>
      <c r="D1191" s="25"/>
      <c r="E1191" s="23">
        <v>45384</v>
      </c>
      <c r="F1191" s="23" t="s">
        <v>280</v>
      </c>
      <c r="G1191" s="25" t="s">
        <v>322</v>
      </c>
      <c r="H1191" s="24">
        <v>1</v>
      </c>
      <c r="I1191" s="25" t="s">
        <v>158</v>
      </c>
      <c r="J1191" s="32">
        <v>45368</v>
      </c>
      <c r="K1191" s="24">
        <v>0.85</v>
      </c>
      <c r="L1191" s="9">
        <f t="shared" si="103"/>
        <v>728</v>
      </c>
      <c r="M1191" s="4">
        <f>IF(Table3[[#This Row],[Afrondingsdatum YB]]="N/A","-",Table3[[#This Row],[Afrondingsdatum YB]]-Table3[[#This Row],[StartDatum]])</f>
        <v>45368</v>
      </c>
      <c r="N1191" s="4"/>
      <c r="O1191">
        <f t="shared" si="106"/>
        <v>120</v>
      </c>
      <c r="P1191">
        <f t="shared" si="105"/>
        <v>117</v>
      </c>
      <c r="Q1191">
        <f t="shared" si="105"/>
        <v>121</v>
      </c>
      <c r="R1191">
        <f t="shared" si="105"/>
        <v>117</v>
      </c>
      <c r="S1191">
        <f t="shared" si="105"/>
        <v>97</v>
      </c>
      <c r="T1191">
        <f t="shared" si="105"/>
        <v>110</v>
      </c>
      <c r="U1191">
        <f t="shared" si="105"/>
        <v>46</v>
      </c>
      <c r="V1191">
        <f t="shared" si="105"/>
        <v>121</v>
      </c>
      <c r="W1191" s="5">
        <f t="shared" ref="W1191:W1254" si="107">ROUND((O1191*O$1+P1191/P$1+Q1191*Q$1+R1191/R$1)+SUM(S1191:V1191),0)</f>
        <v>945</v>
      </c>
      <c r="X1191" s="9" t="str">
        <f t="shared" ref="X1191:X1254" si="108">MID(G1191,2,1)&amp;TEXT(W1191,"###")</f>
        <v>u945</v>
      </c>
    </row>
    <row r="1192" spans="1:24" x14ac:dyDescent="0.2">
      <c r="A1192" s="9" t="s">
        <v>425</v>
      </c>
      <c r="B1192" s="9">
        <v>3</v>
      </c>
      <c r="C1192" s="25">
        <v>8</v>
      </c>
      <c r="D1192" s="25"/>
      <c r="E1192" s="23">
        <v>45384</v>
      </c>
      <c r="F1192" s="23" t="s">
        <v>283</v>
      </c>
      <c r="G1192" s="25" t="s">
        <v>311</v>
      </c>
      <c r="H1192" s="24">
        <v>1</v>
      </c>
      <c r="I1192" s="25" t="s">
        <v>164</v>
      </c>
      <c r="J1192" s="32">
        <v>45383</v>
      </c>
      <c r="K1192" s="24">
        <v>0.78</v>
      </c>
      <c r="L1192" s="9">
        <f t="shared" si="103"/>
        <v>758</v>
      </c>
      <c r="M1192" s="4">
        <f>IF(Table3[[#This Row],[Afrondingsdatum YB]]="N/A","-",Table3[[#This Row],[Afrondingsdatum YB]]-Table3[[#This Row],[StartDatum]])</f>
        <v>45383</v>
      </c>
      <c r="N1192" s="4"/>
      <c r="O1192">
        <f t="shared" si="106"/>
        <v>121</v>
      </c>
      <c r="P1192">
        <f t="shared" si="105"/>
        <v>97</v>
      </c>
      <c r="Q1192">
        <f t="shared" si="105"/>
        <v>115</v>
      </c>
      <c r="R1192">
        <f t="shared" si="105"/>
        <v>109</v>
      </c>
      <c r="S1192">
        <f t="shared" si="105"/>
        <v>105</v>
      </c>
      <c r="T1192">
        <f t="shared" si="105"/>
        <v>110</v>
      </c>
      <c r="U1192">
        <f t="shared" si="105"/>
        <v>101</v>
      </c>
      <c r="V1192">
        <f t="shared" si="105"/>
        <v>46</v>
      </c>
      <c r="W1192" s="5">
        <f t="shared" si="107"/>
        <v>904</v>
      </c>
      <c r="X1192" s="9" t="str">
        <f t="shared" si="108"/>
        <v>a904</v>
      </c>
    </row>
    <row r="1193" spans="1:24" x14ac:dyDescent="0.2">
      <c r="A1193" s="9" t="s">
        <v>425</v>
      </c>
      <c r="B1193" s="9">
        <v>3</v>
      </c>
      <c r="C1193" s="25">
        <v>8</v>
      </c>
      <c r="D1193" s="25"/>
      <c r="E1193" s="23">
        <v>45384</v>
      </c>
      <c r="F1193" s="23" t="s">
        <v>283</v>
      </c>
      <c r="G1193" s="25" t="s">
        <v>340</v>
      </c>
      <c r="H1193" s="24">
        <v>1</v>
      </c>
      <c r="I1193" s="25" t="s">
        <v>341</v>
      </c>
      <c r="J1193" s="32">
        <v>45375</v>
      </c>
      <c r="K1193" s="24">
        <v>0.9</v>
      </c>
      <c r="L1193" s="9">
        <f t="shared" si="103"/>
        <v>782</v>
      </c>
      <c r="M1193" s="4">
        <f>IF(Table3[[#This Row],[Afrondingsdatum YB]]="N/A","-",Table3[[#This Row],[Afrondingsdatum YB]]-Table3[[#This Row],[StartDatum]])</f>
        <v>45375</v>
      </c>
      <c r="N1193" s="4"/>
      <c r="O1193">
        <f t="shared" si="106"/>
        <v>121</v>
      </c>
      <c r="P1193">
        <f t="shared" si="105"/>
        <v>111</v>
      </c>
      <c r="Q1193">
        <f t="shared" si="105"/>
        <v>117</v>
      </c>
      <c r="R1193">
        <f t="shared" si="105"/>
        <v>115</v>
      </c>
      <c r="S1193">
        <f t="shared" si="105"/>
        <v>115</v>
      </c>
      <c r="T1193">
        <f t="shared" si="105"/>
        <v>101</v>
      </c>
      <c r="U1193">
        <f t="shared" si="105"/>
        <v>102</v>
      </c>
      <c r="V1193">
        <f t="shared" si="105"/>
        <v>46</v>
      </c>
      <c r="W1193" s="5">
        <f t="shared" si="107"/>
        <v>920</v>
      </c>
      <c r="X1193" s="9" t="str">
        <f t="shared" si="108"/>
        <v>o920</v>
      </c>
    </row>
    <row r="1194" spans="1:24" x14ac:dyDescent="0.2">
      <c r="A1194" s="9" t="s">
        <v>425</v>
      </c>
      <c r="B1194" s="9">
        <v>3</v>
      </c>
      <c r="C1194" s="25">
        <v>8</v>
      </c>
      <c r="D1194" s="25"/>
      <c r="E1194" s="23">
        <v>45384</v>
      </c>
      <c r="F1194" s="23" t="s">
        <v>280</v>
      </c>
      <c r="G1194" s="25" t="s">
        <v>312</v>
      </c>
      <c r="H1194" s="24">
        <v>0.98</v>
      </c>
      <c r="I1194" s="25" t="s">
        <v>149</v>
      </c>
      <c r="J1194" s="32" t="s">
        <v>7</v>
      </c>
      <c r="K1194" s="24" t="s">
        <v>9</v>
      </c>
      <c r="L1194" s="9">
        <f t="shared" si="103"/>
        <v>790</v>
      </c>
      <c r="M1194" s="4" t="str">
        <f>IF(Table3[[#This Row],[Afrondingsdatum YB]]="N/A","-",Table3[[#This Row],[Afrondingsdatum YB]]-Table3[[#This Row],[StartDatum]])</f>
        <v>-</v>
      </c>
      <c r="N1194" s="4"/>
      <c r="O1194">
        <f t="shared" si="106"/>
        <v>121</v>
      </c>
      <c r="P1194">
        <f t="shared" si="105"/>
        <v>111</v>
      </c>
      <c r="Q1194">
        <f t="shared" si="105"/>
        <v>117</v>
      </c>
      <c r="R1194">
        <f t="shared" si="105"/>
        <v>115</v>
      </c>
      <c r="S1194">
        <f t="shared" si="105"/>
        <v>115</v>
      </c>
      <c r="T1194">
        <f t="shared" si="105"/>
        <v>114</v>
      </c>
      <c r="U1194">
        <f t="shared" si="105"/>
        <v>97</v>
      </c>
      <c r="V1194">
        <f t="shared" si="105"/>
        <v>46</v>
      </c>
      <c r="W1194" s="5">
        <f t="shared" si="107"/>
        <v>928</v>
      </c>
      <c r="X1194" s="9" t="str">
        <f t="shared" si="108"/>
        <v>o928</v>
      </c>
    </row>
    <row r="1195" spans="1:24" x14ac:dyDescent="0.2">
      <c r="A1195" s="9" t="s">
        <v>425</v>
      </c>
      <c r="B1195" s="9">
        <v>3</v>
      </c>
      <c r="C1195" s="25">
        <v>8</v>
      </c>
      <c r="D1195" s="25"/>
      <c r="E1195" s="23">
        <v>45384</v>
      </c>
      <c r="F1195" s="23" t="s">
        <v>283</v>
      </c>
      <c r="G1195" s="25" t="s">
        <v>323</v>
      </c>
      <c r="H1195" s="24">
        <v>0.99</v>
      </c>
      <c r="I1195" s="25" t="s">
        <v>275</v>
      </c>
      <c r="J1195" s="32" t="s">
        <v>7</v>
      </c>
      <c r="K1195" s="24" t="s">
        <v>9</v>
      </c>
      <c r="L1195" s="9">
        <f t="shared" si="103"/>
        <v>685</v>
      </c>
      <c r="M1195" s="4" t="str">
        <f>IF(Table3[[#This Row],[Afrondingsdatum YB]]="N/A","-",Table3[[#This Row],[Afrondingsdatum YB]]-Table3[[#This Row],[StartDatum]])</f>
        <v>-</v>
      </c>
      <c r="N1195" s="4"/>
      <c r="O1195">
        <f t="shared" si="106"/>
        <v>122</v>
      </c>
      <c r="P1195">
        <f t="shared" si="105"/>
        <v>105</v>
      </c>
      <c r="Q1195">
        <f t="shared" si="105"/>
        <v>97</v>
      </c>
      <c r="R1195">
        <f t="shared" si="105"/>
        <v>46</v>
      </c>
      <c r="S1195">
        <f t="shared" si="105"/>
        <v>100</v>
      </c>
      <c r="T1195">
        <f t="shared" si="105"/>
        <v>105</v>
      </c>
      <c r="U1195">
        <f t="shared" si="105"/>
        <v>110</v>
      </c>
      <c r="V1195">
        <f t="shared" si="105"/>
        <v>109</v>
      </c>
      <c r="W1195" s="5">
        <f t="shared" si="107"/>
        <v>901</v>
      </c>
      <c r="X1195" s="9" t="str">
        <f t="shared" si="108"/>
        <v>i901</v>
      </c>
    </row>
    <row r="1196" spans="1:24" x14ac:dyDescent="0.2">
      <c r="A1196" s="9" t="s">
        <v>425</v>
      </c>
      <c r="B1196" s="9">
        <v>3</v>
      </c>
      <c r="C1196" s="25">
        <v>9</v>
      </c>
      <c r="D1196" s="25"/>
      <c r="E1196" s="23">
        <v>45390</v>
      </c>
      <c r="F1196" s="23" t="s">
        <v>280</v>
      </c>
      <c r="G1196" s="25" t="s">
        <v>281</v>
      </c>
      <c r="H1196" s="24">
        <v>1</v>
      </c>
      <c r="I1196" s="25" t="s">
        <v>331</v>
      </c>
      <c r="J1196" s="32">
        <v>45373</v>
      </c>
      <c r="K1196" s="24">
        <v>0.8</v>
      </c>
      <c r="L1196" s="9">
        <f t="shared" ref="L1196:L1259" si="109">SUM(O1196:U1196)</f>
        <v>717</v>
      </c>
      <c r="M1196" s="4">
        <f>IF(Table3[[#This Row],[Afrondingsdatum YB]]="N/A","-",Table3[[#This Row],[Afrondingsdatum YB]]-Table3[[#This Row],[StartDatum]])</f>
        <v>45373</v>
      </c>
      <c r="N1196" s="4"/>
      <c r="O1196">
        <f t="shared" si="106"/>
        <v>97</v>
      </c>
      <c r="P1196">
        <f t="shared" si="105"/>
        <v>98</v>
      </c>
      <c r="Q1196">
        <f t="shared" si="105"/>
        <v>100</v>
      </c>
      <c r="R1196">
        <f t="shared" si="105"/>
        <v>101</v>
      </c>
      <c r="S1196">
        <f t="shared" si="105"/>
        <v>108</v>
      </c>
      <c r="T1196">
        <f t="shared" si="105"/>
        <v>105</v>
      </c>
      <c r="U1196">
        <f t="shared" si="105"/>
        <v>108</v>
      </c>
      <c r="V1196">
        <f t="shared" si="105"/>
        <v>97</v>
      </c>
      <c r="W1196" s="5">
        <f t="shared" si="107"/>
        <v>889</v>
      </c>
      <c r="X1196" s="9" t="str">
        <f t="shared" si="108"/>
        <v>b889</v>
      </c>
    </row>
    <row r="1197" spans="1:24" x14ac:dyDescent="0.2">
      <c r="A1197" s="9" t="s">
        <v>425</v>
      </c>
      <c r="B1197" s="9">
        <v>3</v>
      </c>
      <c r="C1197" s="25">
        <v>9</v>
      </c>
      <c r="D1197" s="25"/>
      <c r="E1197" s="23">
        <v>45390</v>
      </c>
      <c r="F1197" s="23" t="s">
        <v>280</v>
      </c>
      <c r="G1197" s="25" t="s">
        <v>282</v>
      </c>
      <c r="H1197" s="24">
        <v>0.02</v>
      </c>
      <c r="I1197" s="25" t="s">
        <v>325</v>
      </c>
      <c r="J1197" s="32" t="s">
        <v>7</v>
      </c>
      <c r="K1197" s="24" t="s">
        <v>9</v>
      </c>
      <c r="L1197" s="9">
        <f t="shared" si="109"/>
        <v>675</v>
      </c>
      <c r="M1197" s="4" t="str">
        <f>IF(Table3[[#This Row],[Afrondingsdatum YB]]="N/A","-",Table3[[#This Row],[Afrondingsdatum YB]]-Table3[[#This Row],[StartDatum]])</f>
        <v>-</v>
      </c>
      <c r="N1197" s="4"/>
      <c r="O1197">
        <f t="shared" si="106"/>
        <v>97</v>
      </c>
      <c r="P1197">
        <f t="shared" si="105"/>
        <v>104</v>
      </c>
      <c r="Q1197">
        <f t="shared" si="105"/>
        <v>109</v>
      </c>
      <c r="R1197">
        <f t="shared" si="105"/>
        <v>97</v>
      </c>
      <c r="S1197">
        <f t="shared" si="105"/>
        <v>100</v>
      </c>
      <c r="T1197">
        <f t="shared" si="105"/>
        <v>46</v>
      </c>
      <c r="U1197">
        <f t="shared" si="105"/>
        <v>122</v>
      </c>
      <c r="V1197">
        <f t="shared" si="105"/>
        <v>97</v>
      </c>
      <c r="W1197" s="5">
        <f t="shared" si="107"/>
        <v>865</v>
      </c>
      <c r="X1197" s="9" t="str">
        <f t="shared" si="108"/>
        <v>h865</v>
      </c>
    </row>
    <row r="1198" spans="1:24" x14ac:dyDescent="0.2">
      <c r="A1198" s="9" t="s">
        <v>425</v>
      </c>
      <c r="B1198" s="9">
        <v>3</v>
      </c>
      <c r="C1198" s="25">
        <v>9</v>
      </c>
      <c r="D1198" s="25"/>
      <c r="E1198" s="23">
        <v>45390</v>
      </c>
      <c r="F1198" s="23" t="s">
        <v>283</v>
      </c>
      <c r="G1198" s="25" t="s">
        <v>284</v>
      </c>
      <c r="H1198" s="24">
        <v>1</v>
      </c>
      <c r="I1198" s="25" t="s">
        <v>208</v>
      </c>
      <c r="J1198" s="32">
        <v>45354</v>
      </c>
      <c r="K1198" s="24">
        <v>0.8</v>
      </c>
      <c r="L1198" s="9">
        <f t="shared" si="109"/>
        <v>656</v>
      </c>
      <c r="M1198" s="4">
        <f>IF(Table3[[#This Row],[Afrondingsdatum YB]]="N/A","-",Table3[[#This Row],[Afrondingsdatum YB]]-Table3[[#This Row],[StartDatum]])</f>
        <v>45354</v>
      </c>
      <c r="N1198" s="4"/>
      <c r="O1198">
        <f t="shared" si="106"/>
        <v>65</v>
      </c>
      <c r="P1198">
        <f t="shared" si="105"/>
        <v>104</v>
      </c>
      <c r="Q1198">
        <f t="shared" si="105"/>
        <v>109</v>
      </c>
      <c r="R1198">
        <f t="shared" si="105"/>
        <v>101</v>
      </c>
      <c r="S1198">
        <f t="shared" si="105"/>
        <v>116</v>
      </c>
      <c r="T1198">
        <f t="shared" si="105"/>
        <v>46</v>
      </c>
      <c r="U1198">
        <f t="shared" si="105"/>
        <v>115</v>
      </c>
      <c r="V1198">
        <f t="shared" si="105"/>
        <v>101</v>
      </c>
      <c r="W1198" s="5">
        <f t="shared" si="107"/>
        <v>847</v>
      </c>
      <c r="X1198" s="9" t="str">
        <f t="shared" si="108"/>
        <v>h847</v>
      </c>
    </row>
    <row r="1199" spans="1:24" x14ac:dyDescent="0.2">
      <c r="A1199" s="9" t="s">
        <v>425</v>
      </c>
      <c r="B1199" s="9">
        <v>3</v>
      </c>
      <c r="C1199" s="25">
        <v>9</v>
      </c>
      <c r="D1199" s="25"/>
      <c r="E1199" s="23">
        <v>45390</v>
      </c>
      <c r="F1199" s="23" t="s">
        <v>283</v>
      </c>
      <c r="G1199" s="25" t="s">
        <v>285</v>
      </c>
      <c r="H1199" s="24">
        <v>1</v>
      </c>
      <c r="I1199" s="25" t="s">
        <v>139</v>
      </c>
      <c r="J1199" s="32">
        <v>45380</v>
      </c>
      <c r="K1199" s="24">
        <v>0.78</v>
      </c>
      <c r="L1199" s="9">
        <f t="shared" si="109"/>
        <v>747</v>
      </c>
      <c r="M1199" s="4">
        <f>IF(Table3[[#This Row],[Afrondingsdatum YB]]="N/A","-",Table3[[#This Row],[Afrondingsdatum YB]]-Table3[[#This Row],[StartDatum]])</f>
        <v>45380</v>
      </c>
      <c r="N1199" s="4"/>
      <c r="O1199">
        <f t="shared" si="106"/>
        <v>97</v>
      </c>
      <c r="P1199">
        <f t="shared" si="105"/>
        <v>110</v>
      </c>
      <c r="Q1199">
        <f t="shared" si="105"/>
        <v>97</v>
      </c>
      <c r="R1199">
        <f t="shared" si="105"/>
        <v>115</v>
      </c>
      <c r="S1199">
        <f t="shared" si="105"/>
        <v>116</v>
      </c>
      <c r="T1199">
        <f t="shared" si="105"/>
        <v>97</v>
      </c>
      <c r="U1199">
        <f t="shared" si="105"/>
        <v>115</v>
      </c>
      <c r="V1199">
        <f t="shared" si="105"/>
        <v>105</v>
      </c>
      <c r="W1199" s="5">
        <f t="shared" si="107"/>
        <v>905</v>
      </c>
      <c r="X1199" s="9" t="str">
        <f t="shared" si="108"/>
        <v>n905</v>
      </c>
    </row>
    <row r="1200" spans="1:24" x14ac:dyDescent="0.2">
      <c r="A1200" s="9" t="s">
        <v>425</v>
      </c>
      <c r="B1200" s="9">
        <v>3</v>
      </c>
      <c r="C1200" s="25">
        <v>9</v>
      </c>
      <c r="D1200" s="25"/>
      <c r="E1200" s="23">
        <v>45390</v>
      </c>
      <c r="F1200" s="23" t="s">
        <v>283</v>
      </c>
      <c r="G1200" s="25" t="s">
        <v>333</v>
      </c>
      <c r="H1200" s="24">
        <v>1</v>
      </c>
      <c r="I1200" s="25" t="s">
        <v>342</v>
      </c>
      <c r="J1200" s="32">
        <v>45382</v>
      </c>
      <c r="K1200" s="24">
        <v>0.85</v>
      </c>
      <c r="L1200" s="9">
        <f t="shared" si="109"/>
        <v>675</v>
      </c>
      <c r="M1200" s="4">
        <f>IF(Table3[[#This Row],[Afrondingsdatum YB]]="N/A","-",Table3[[#This Row],[Afrondingsdatum YB]]-Table3[[#This Row],[StartDatum]])</f>
        <v>45382</v>
      </c>
      <c r="N1200" s="4"/>
      <c r="O1200">
        <f t="shared" si="106"/>
        <v>97</v>
      </c>
      <c r="P1200">
        <f t="shared" si="105"/>
        <v>115</v>
      </c>
      <c r="Q1200">
        <f t="shared" si="105"/>
        <v>104</v>
      </c>
      <c r="R1200">
        <f t="shared" si="105"/>
        <v>114</v>
      </c>
      <c r="S1200">
        <f t="shared" si="105"/>
        <v>97</v>
      </c>
      <c r="T1200">
        <f t="shared" si="105"/>
        <v>102</v>
      </c>
      <c r="U1200">
        <f t="shared" si="105"/>
        <v>46</v>
      </c>
      <c r="V1200">
        <f t="shared" si="105"/>
        <v>104</v>
      </c>
      <c r="W1200" s="5">
        <f t="shared" si="107"/>
        <v>844</v>
      </c>
      <c r="X1200" s="9" t="str">
        <f t="shared" si="108"/>
        <v>s844</v>
      </c>
    </row>
    <row r="1201" spans="1:24" x14ac:dyDescent="0.2">
      <c r="A1201" s="9" t="s">
        <v>425</v>
      </c>
      <c r="B1201" s="9">
        <v>3</v>
      </c>
      <c r="C1201" s="25">
        <v>9</v>
      </c>
      <c r="D1201" s="25"/>
      <c r="E1201" s="23">
        <v>45390</v>
      </c>
      <c r="F1201" s="23" t="s">
        <v>283</v>
      </c>
      <c r="G1201" s="25" t="s">
        <v>286</v>
      </c>
      <c r="H1201" s="24">
        <v>1</v>
      </c>
      <c r="I1201" s="25" t="s">
        <v>238</v>
      </c>
      <c r="J1201" s="32">
        <v>45352</v>
      </c>
      <c r="K1201" s="24">
        <v>0.85</v>
      </c>
      <c r="L1201" s="9">
        <f t="shared" si="109"/>
        <v>645</v>
      </c>
      <c r="M1201" s="4">
        <f>IF(Table3[[#This Row],[Afrondingsdatum YB]]="N/A","-",Table3[[#This Row],[Afrondingsdatum YB]]-Table3[[#This Row],[StartDatum]])</f>
        <v>45352</v>
      </c>
      <c r="N1201" s="4"/>
      <c r="O1201">
        <f t="shared" si="106"/>
        <v>66</v>
      </c>
      <c r="P1201">
        <f t="shared" si="105"/>
        <v>97</v>
      </c>
      <c r="Q1201">
        <f t="shared" si="105"/>
        <v>115</v>
      </c>
      <c r="R1201">
        <f t="shared" si="105"/>
        <v>46</v>
      </c>
      <c r="S1201">
        <f t="shared" si="105"/>
        <v>107</v>
      </c>
      <c r="T1201">
        <f t="shared" si="105"/>
        <v>105</v>
      </c>
      <c r="U1201">
        <f t="shared" si="105"/>
        <v>109</v>
      </c>
      <c r="V1201">
        <f t="shared" si="105"/>
        <v>109</v>
      </c>
      <c r="W1201" s="5">
        <f t="shared" si="107"/>
        <v>901</v>
      </c>
      <c r="X1201" s="9" t="str">
        <f t="shared" si="108"/>
        <v>a901</v>
      </c>
    </row>
    <row r="1202" spans="1:24" x14ac:dyDescent="0.2">
      <c r="A1202" s="9" t="s">
        <v>425</v>
      </c>
      <c r="B1202" s="9">
        <v>3</v>
      </c>
      <c r="C1202" s="25">
        <v>9</v>
      </c>
      <c r="D1202" s="25"/>
      <c r="E1202" s="23">
        <v>45390</v>
      </c>
      <c r="F1202" s="23" t="s">
        <v>280</v>
      </c>
      <c r="G1202" s="25" t="s">
        <v>287</v>
      </c>
      <c r="H1202" s="24">
        <v>1</v>
      </c>
      <c r="I1202" s="25" t="s">
        <v>335</v>
      </c>
      <c r="J1202" s="32">
        <v>45383</v>
      </c>
      <c r="K1202" s="24">
        <v>0.9</v>
      </c>
      <c r="L1202" s="9">
        <f t="shared" si="109"/>
        <v>666</v>
      </c>
      <c r="M1202" s="4">
        <f>IF(Table3[[#This Row],[Afrondingsdatum YB]]="N/A","-",Table3[[#This Row],[Afrondingsdatum YB]]-Table3[[#This Row],[StartDatum]])</f>
        <v>45383</v>
      </c>
      <c r="N1202" s="4"/>
      <c r="O1202">
        <f t="shared" si="106"/>
        <v>100</v>
      </c>
      <c r="P1202">
        <f t="shared" si="105"/>
        <v>106</v>
      </c>
      <c r="Q1202">
        <f t="shared" si="105"/>
        <v>97</v>
      </c>
      <c r="R1202">
        <f t="shared" si="105"/>
        <v>98</v>
      </c>
      <c r="S1202">
        <f t="shared" si="105"/>
        <v>105</v>
      </c>
      <c r="T1202">
        <f t="shared" si="105"/>
        <v>114</v>
      </c>
      <c r="U1202">
        <f t="shared" si="105"/>
        <v>46</v>
      </c>
      <c r="V1202">
        <f t="shared" si="105"/>
        <v>104</v>
      </c>
      <c r="W1202" s="5">
        <f t="shared" si="107"/>
        <v>838</v>
      </c>
      <c r="X1202" s="9" t="str">
        <f t="shared" si="108"/>
        <v>j838</v>
      </c>
    </row>
    <row r="1203" spans="1:24" x14ac:dyDescent="0.2">
      <c r="A1203" s="9" t="s">
        <v>425</v>
      </c>
      <c r="B1203" s="9">
        <v>3</v>
      </c>
      <c r="C1203" s="25">
        <v>9</v>
      </c>
      <c r="D1203" s="25"/>
      <c r="E1203" s="23">
        <v>45390</v>
      </c>
      <c r="F1203" s="23" t="s">
        <v>283</v>
      </c>
      <c r="G1203" s="25" t="s">
        <v>343</v>
      </c>
      <c r="H1203" s="24">
        <v>0.98</v>
      </c>
      <c r="I1203" s="25" t="s">
        <v>350</v>
      </c>
      <c r="J1203" s="32" t="s">
        <v>7</v>
      </c>
      <c r="K1203" s="24" t="s">
        <v>9</v>
      </c>
      <c r="L1203" s="9">
        <f t="shared" si="109"/>
        <v>639</v>
      </c>
      <c r="M1203" s="4" t="str">
        <f>IF(Table3[[#This Row],[Afrondingsdatum YB]]="N/A","-",Table3[[#This Row],[Afrondingsdatum YB]]-Table3[[#This Row],[StartDatum]])</f>
        <v>-</v>
      </c>
      <c r="N1203" s="4"/>
      <c r="O1203">
        <f t="shared" si="106"/>
        <v>70</v>
      </c>
      <c r="P1203">
        <f t="shared" si="105"/>
        <v>97</v>
      </c>
      <c r="Q1203">
        <f t="shared" si="105"/>
        <v>116</v>
      </c>
      <c r="R1203">
        <f t="shared" si="105"/>
        <v>105</v>
      </c>
      <c r="S1203">
        <f t="shared" si="105"/>
        <v>109</v>
      </c>
      <c r="T1203">
        <f t="shared" si="105"/>
        <v>97</v>
      </c>
      <c r="U1203">
        <f t="shared" si="105"/>
        <v>45</v>
      </c>
      <c r="V1203">
        <f t="shared" si="105"/>
        <v>101</v>
      </c>
      <c r="W1203" s="5">
        <f t="shared" si="107"/>
        <v>845</v>
      </c>
      <c r="X1203" s="9" t="str">
        <f t="shared" si="108"/>
        <v>a845</v>
      </c>
    </row>
    <row r="1204" spans="1:24" x14ac:dyDescent="0.2">
      <c r="A1204" s="9" t="s">
        <v>425</v>
      </c>
      <c r="B1204" s="9">
        <v>3</v>
      </c>
      <c r="C1204" s="25">
        <v>9</v>
      </c>
      <c r="D1204" s="25"/>
      <c r="E1204" s="23">
        <v>45390</v>
      </c>
      <c r="F1204" s="23" t="s">
        <v>280</v>
      </c>
      <c r="G1204" s="25" t="s">
        <v>288</v>
      </c>
      <c r="H1204" s="24">
        <v>1</v>
      </c>
      <c r="I1204" s="25" t="s">
        <v>330</v>
      </c>
      <c r="J1204" s="32">
        <v>45373</v>
      </c>
      <c r="K1204" s="24">
        <v>0.8</v>
      </c>
      <c r="L1204" s="9">
        <f t="shared" si="109"/>
        <v>682</v>
      </c>
      <c r="M1204" s="4">
        <f>IF(Table3[[#This Row],[Afrondingsdatum YB]]="N/A","-",Table3[[#This Row],[Afrondingsdatum YB]]-Table3[[#This Row],[StartDatum]])</f>
        <v>45373</v>
      </c>
      <c r="N1204" s="4"/>
      <c r="O1204">
        <f t="shared" si="106"/>
        <v>103</v>
      </c>
      <c r="P1204">
        <f t="shared" si="105"/>
        <v>108</v>
      </c>
      <c r="Q1204">
        <f t="shared" si="105"/>
        <v>101</v>
      </c>
      <c r="R1204">
        <f t="shared" si="105"/>
        <v>110</v>
      </c>
      <c r="S1204">
        <f t="shared" si="105"/>
        <v>110</v>
      </c>
      <c r="T1204">
        <f t="shared" si="105"/>
        <v>46</v>
      </c>
      <c r="U1204">
        <f t="shared" si="105"/>
        <v>104</v>
      </c>
      <c r="V1204">
        <f t="shared" si="105"/>
        <v>101</v>
      </c>
      <c r="W1204" s="5">
        <f t="shared" si="107"/>
        <v>849</v>
      </c>
      <c r="X1204" s="9" t="str">
        <f t="shared" si="108"/>
        <v>l849</v>
      </c>
    </row>
    <row r="1205" spans="1:24" x14ac:dyDescent="0.2">
      <c r="A1205" s="9" t="s">
        <v>425</v>
      </c>
      <c r="B1205" s="9">
        <v>3</v>
      </c>
      <c r="C1205" s="25">
        <v>9</v>
      </c>
      <c r="D1205" s="25"/>
      <c r="E1205" s="23">
        <v>45390</v>
      </c>
      <c r="F1205" s="23" t="s">
        <v>283</v>
      </c>
      <c r="G1205" s="25" t="s">
        <v>289</v>
      </c>
      <c r="H1205" s="24">
        <v>1</v>
      </c>
      <c r="I1205" s="25" t="s">
        <v>342</v>
      </c>
      <c r="J1205" s="32">
        <v>45389</v>
      </c>
      <c r="K1205" s="24">
        <v>0.83</v>
      </c>
      <c r="L1205" s="9">
        <f t="shared" si="109"/>
        <v>675</v>
      </c>
      <c r="M1205" s="4">
        <f>IF(Table3[[#This Row],[Afrondingsdatum YB]]="N/A","-",Table3[[#This Row],[Afrondingsdatum YB]]-Table3[[#This Row],[StartDatum]])</f>
        <v>45389</v>
      </c>
      <c r="N1205" s="4"/>
      <c r="O1205">
        <f t="shared" si="106"/>
        <v>103</v>
      </c>
      <c r="P1205">
        <f t="shared" si="105"/>
        <v>114</v>
      </c>
      <c r="Q1205">
        <f t="shared" si="105"/>
        <v>97</v>
      </c>
      <c r="R1205">
        <f t="shared" si="105"/>
        <v>99</v>
      </c>
      <c r="S1205">
        <f t="shared" si="105"/>
        <v>101</v>
      </c>
      <c r="T1205">
        <f t="shared" si="105"/>
        <v>46</v>
      </c>
      <c r="U1205">
        <f t="shared" si="105"/>
        <v>115</v>
      </c>
      <c r="V1205">
        <f t="shared" si="105"/>
        <v>101</v>
      </c>
      <c r="W1205" s="5">
        <f t="shared" si="107"/>
        <v>839</v>
      </c>
      <c r="X1205" s="9" t="str">
        <f t="shared" si="108"/>
        <v>r839</v>
      </c>
    </row>
    <row r="1206" spans="1:24" x14ac:dyDescent="0.2">
      <c r="A1206" s="9" t="s">
        <v>425</v>
      </c>
      <c r="B1206" s="9">
        <v>3</v>
      </c>
      <c r="C1206" s="25">
        <v>9</v>
      </c>
      <c r="D1206" s="25"/>
      <c r="E1206" s="23">
        <v>45390</v>
      </c>
      <c r="F1206" s="23" t="s">
        <v>283</v>
      </c>
      <c r="G1206" s="25" t="s">
        <v>290</v>
      </c>
      <c r="H1206" s="24">
        <v>1</v>
      </c>
      <c r="I1206" s="25" t="s">
        <v>214</v>
      </c>
      <c r="J1206" s="32">
        <v>45358</v>
      </c>
      <c r="K1206" s="24">
        <v>0.78</v>
      </c>
      <c r="L1206" s="9">
        <f t="shared" si="109"/>
        <v>677</v>
      </c>
      <c r="M1206" s="4">
        <f>IF(Table3[[#This Row],[Afrondingsdatum YB]]="N/A","-",Table3[[#This Row],[Afrondingsdatum YB]]-Table3[[#This Row],[StartDatum]])</f>
        <v>45358</v>
      </c>
      <c r="N1206" s="4"/>
      <c r="O1206">
        <f t="shared" si="106"/>
        <v>105</v>
      </c>
      <c r="P1206">
        <f t="shared" si="105"/>
        <v>108</v>
      </c>
      <c r="Q1206">
        <f t="shared" si="105"/>
        <v>105</v>
      </c>
      <c r="R1206">
        <f t="shared" si="105"/>
        <v>97</v>
      </c>
      <c r="S1206">
        <f t="shared" si="105"/>
        <v>115</v>
      </c>
      <c r="T1206">
        <f t="shared" si="105"/>
        <v>46</v>
      </c>
      <c r="U1206">
        <f t="shared" si="105"/>
        <v>101</v>
      </c>
      <c r="V1206">
        <f t="shared" si="105"/>
        <v>108</v>
      </c>
      <c r="W1206" s="5">
        <f t="shared" si="107"/>
        <v>868</v>
      </c>
      <c r="X1206" s="9" t="str">
        <f t="shared" si="108"/>
        <v>l868</v>
      </c>
    </row>
    <row r="1207" spans="1:24" x14ac:dyDescent="0.2">
      <c r="A1207" s="9" t="s">
        <v>425</v>
      </c>
      <c r="B1207" s="9">
        <v>3</v>
      </c>
      <c r="C1207" s="25">
        <v>9</v>
      </c>
      <c r="D1207" s="25"/>
      <c r="E1207" s="23">
        <v>45390</v>
      </c>
      <c r="F1207" s="23" t="s">
        <v>283</v>
      </c>
      <c r="G1207" s="25" t="s">
        <v>291</v>
      </c>
      <c r="H1207" s="24">
        <v>1</v>
      </c>
      <c r="I1207" s="25" t="s">
        <v>184</v>
      </c>
      <c r="J1207" s="32">
        <v>45389</v>
      </c>
      <c r="K1207" s="24">
        <v>0.83</v>
      </c>
      <c r="L1207" s="9">
        <f t="shared" si="109"/>
        <v>638</v>
      </c>
      <c r="M1207" s="4">
        <f>IF(Table3[[#This Row],[Afrondingsdatum YB]]="N/A","-",Table3[[#This Row],[Afrondingsdatum YB]]-Table3[[#This Row],[StartDatum]])</f>
        <v>45389</v>
      </c>
      <c r="N1207" s="4"/>
      <c r="O1207">
        <f t="shared" si="106"/>
        <v>73</v>
      </c>
      <c r="P1207">
        <f t="shared" si="105"/>
        <v>115</v>
      </c>
      <c r="Q1207">
        <f t="shared" si="105"/>
        <v>97</v>
      </c>
      <c r="R1207">
        <f t="shared" si="105"/>
        <v>98</v>
      </c>
      <c r="S1207">
        <f t="shared" si="105"/>
        <v>101</v>
      </c>
      <c r="T1207">
        <f t="shared" si="105"/>
        <v>108</v>
      </c>
      <c r="U1207">
        <f t="shared" si="105"/>
        <v>46</v>
      </c>
      <c r="V1207">
        <f t="shared" si="105"/>
        <v>109</v>
      </c>
      <c r="W1207" s="5">
        <f t="shared" si="107"/>
        <v>810</v>
      </c>
      <c r="X1207" s="9" t="str">
        <f t="shared" si="108"/>
        <v>s810</v>
      </c>
    </row>
    <row r="1208" spans="1:24" x14ac:dyDescent="0.2">
      <c r="A1208" s="9" t="s">
        <v>425</v>
      </c>
      <c r="B1208" s="9">
        <v>3</v>
      </c>
      <c r="C1208" s="25">
        <v>9</v>
      </c>
      <c r="D1208" s="25"/>
      <c r="E1208" s="23">
        <v>45390</v>
      </c>
      <c r="F1208" s="23" t="s">
        <v>280</v>
      </c>
      <c r="G1208" s="25" t="s">
        <v>292</v>
      </c>
      <c r="H1208" s="24">
        <v>0.98</v>
      </c>
      <c r="I1208" s="25" t="s">
        <v>264</v>
      </c>
      <c r="J1208" s="32" t="s">
        <v>7</v>
      </c>
      <c r="K1208" s="24" t="s">
        <v>9</v>
      </c>
      <c r="L1208" s="9">
        <f t="shared" si="109"/>
        <v>673</v>
      </c>
      <c r="M1208" s="4" t="str">
        <f>IF(Table3[[#This Row],[Afrondingsdatum YB]]="N/A","-",Table3[[#This Row],[Afrondingsdatum YB]]-Table3[[#This Row],[StartDatum]])</f>
        <v>-</v>
      </c>
      <c r="N1208" s="4"/>
      <c r="O1208">
        <f t="shared" si="106"/>
        <v>106</v>
      </c>
      <c r="P1208">
        <f t="shared" si="105"/>
        <v>97</v>
      </c>
      <c r="Q1208">
        <f t="shared" si="105"/>
        <v>105</v>
      </c>
      <c r="R1208">
        <f t="shared" si="105"/>
        <v>114</v>
      </c>
      <c r="S1208">
        <f t="shared" si="105"/>
        <v>46</v>
      </c>
      <c r="T1208">
        <f t="shared" si="105"/>
        <v>104</v>
      </c>
      <c r="U1208">
        <f t="shared" si="105"/>
        <v>101</v>
      </c>
      <c r="V1208">
        <f t="shared" si="105"/>
        <v>107</v>
      </c>
      <c r="W1208" s="5">
        <f t="shared" si="107"/>
        <v>856</v>
      </c>
      <c r="X1208" s="9" t="str">
        <f t="shared" si="108"/>
        <v>a856</v>
      </c>
    </row>
    <row r="1209" spans="1:24" x14ac:dyDescent="0.2">
      <c r="A1209" s="9" t="s">
        <v>425</v>
      </c>
      <c r="B1209" s="9">
        <v>3</v>
      </c>
      <c r="C1209" s="25">
        <v>9</v>
      </c>
      <c r="D1209" s="25"/>
      <c r="E1209" s="23">
        <v>45390</v>
      </c>
      <c r="F1209" s="23" t="s">
        <v>283</v>
      </c>
      <c r="G1209" s="25" t="s">
        <v>293</v>
      </c>
      <c r="H1209" s="24">
        <v>1</v>
      </c>
      <c r="I1209" s="25" t="s">
        <v>314</v>
      </c>
      <c r="J1209" s="32">
        <v>45382</v>
      </c>
      <c r="K1209" s="24">
        <v>0.85</v>
      </c>
      <c r="L1209" s="9">
        <f t="shared" si="109"/>
        <v>692</v>
      </c>
      <c r="M1209" s="4">
        <f>IF(Table3[[#This Row],[Afrondingsdatum YB]]="N/A","-",Table3[[#This Row],[Afrondingsdatum YB]]-Table3[[#This Row],[StartDatum]])</f>
        <v>45382</v>
      </c>
      <c r="N1209" s="4"/>
      <c r="O1209">
        <f t="shared" si="106"/>
        <v>106</v>
      </c>
      <c r="P1209">
        <f t="shared" si="105"/>
        <v>101</v>
      </c>
      <c r="Q1209">
        <f t="shared" si="105"/>
        <v>115</v>
      </c>
      <c r="R1209">
        <f t="shared" si="105"/>
        <v>115</v>
      </c>
      <c r="S1209">
        <f t="shared" si="105"/>
        <v>101</v>
      </c>
      <c r="T1209">
        <f t="shared" si="105"/>
        <v>46</v>
      </c>
      <c r="U1209">
        <f t="shared" si="105"/>
        <v>108</v>
      </c>
      <c r="V1209">
        <f t="shared" si="105"/>
        <v>101</v>
      </c>
      <c r="W1209" s="5">
        <f t="shared" si="107"/>
        <v>886</v>
      </c>
      <c r="X1209" s="9" t="str">
        <f t="shared" si="108"/>
        <v>e886</v>
      </c>
    </row>
    <row r="1210" spans="1:24" x14ac:dyDescent="0.2">
      <c r="A1210" s="9" t="s">
        <v>425</v>
      </c>
      <c r="B1210" s="9">
        <v>3</v>
      </c>
      <c r="C1210" s="25">
        <v>9</v>
      </c>
      <c r="D1210" s="25"/>
      <c r="E1210" s="23">
        <v>45390</v>
      </c>
      <c r="F1210" s="23" t="s">
        <v>283</v>
      </c>
      <c r="G1210" s="25" t="s">
        <v>294</v>
      </c>
      <c r="H1210" s="24">
        <v>0.09</v>
      </c>
      <c r="I1210" s="25" t="s">
        <v>315</v>
      </c>
      <c r="J1210" s="32" t="s">
        <v>7</v>
      </c>
      <c r="K1210" s="24" t="s">
        <v>9</v>
      </c>
      <c r="L1210" s="9">
        <f t="shared" si="109"/>
        <v>681</v>
      </c>
      <c r="M1210" s="4" t="str">
        <f>IF(Table3[[#This Row],[Afrondingsdatum YB]]="N/A","-",Table3[[#This Row],[Afrondingsdatum YB]]-Table3[[#This Row],[StartDatum]])</f>
        <v>-</v>
      </c>
      <c r="N1210" s="4"/>
      <c r="O1210">
        <f t="shared" si="106"/>
        <v>106</v>
      </c>
      <c r="P1210">
        <f t="shared" si="105"/>
        <v>111</v>
      </c>
      <c r="Q1210">
        <f t="shared" si="105"/>
        <v>114</v>
      </c>
      <c r="R1210">
        <f t="shared" si="105"/>
        <v>100</v>
      </c>
      <c r="S1210">
        <f t="shared" si="105"/>
        <v>46</v>
      </c>
      <c r="T1210">
        <f t="shared" si="105"/>
        <v>107</v>
      </c>
      <c r="U1210">
        <f t="shared" si="105"/>
        <v>97</v>
      </c>
      <c r="V1210">
        <f t="shared" si="105"/>
        <v>114</v>
      </c>
      <c r="W1210" s="5">
        <f t="shared" si="107"/>
        <v>893</v>
      </c>
      <c r="X1210" s="9" t="str">
        <f t="shared" si="108"/>
        <v>o893</v>
      </c>
    </row>
    <row r="1211" spans="1:24" x14ac:dyDescent="0.2">
      <c r="A1211" s="9" t="s">
        <v>425</v>
      </c>
      <c r="B1211" s="9">
        <v>3</v>
      </c>
      <c r="C1211" s="25">
        <v>9</v>
      </c>
      <c r="D1211" s="25"/>
      <c r="E1211" s="23">
        <v>45390</v>
      </c>
      <c r="F1211" s="23" t="s">
        <v>280</v>
      </c>
      <c r="G1211" s="25" t="s">
        <v>295</v>
      </c>
      <c r="H1211" s="24">
        <v>1</v>
      </c>
      <c r="I1211" s="25" t="s">
        <v>342</v>
      </c>
      <c r="J1211" s="32">
        <v>45378</v>
      </c>
      <c r="K1211" s="24">
        <v>0.75</v>
      </c>
      <c r="L1211" s="9">
        <f t="shared" si="109"/>
        <v>691</v>
      </c>
      <c r="M1211" s="4">
        <f>IF(Table3[[#This Row],[Afrondingsdatum YB]]="N/A","-",Table3[[#This Row],[Afrondingsdatum YB]]-Table3[[#This Row],[StartDatum]])</f>
        <v>45378</v>
      </c>
      <c r="N1211" s="4"/>
      <c r="O1211">
        <f t="shared" si="106"/>
        <v>106</v>
      </c>
      <c r="P1211">
        <f t="shared" si="105"/>
        <v>111</v>
      </c>
      <c r="Q1211">
        <f t="shared" si="105"/>
        <v>121</v>
      </c>
      <c r="R1211">
        <f t="shared" si="105"/>
        <v>99</v>
      </c>
      <c r="S1211">
        <f t="shared" si="105"/>
        <v>101</v>
      </c>
      <c r="T1211">
        <f t="shared" si="105"/>
        <v>46</v>
      </c>
      <c r="U1211">
        <f t="shared" si="105"/>
        <v>107</v>
      </c>
      <c r="V1211">
        <f t="shared" si="105"/>
        <v>111</v>
      </c>
      <c r="W1211" s="5">
        <f t="shared" si="107"/>
        <v>914</v>
      </c>
      <c r="X1211" s="9" t="str">
        <f t="shared" si="108"/>
        <v>o914</v>
      </c>
    </row>
    <row r="1212" spans="1:24" x14ac:dyDescent="0.2">
      <c r="A1212" s="9" t="s">
        <v>425</v>
      </c>
      <c r="B1212" s="9">
        <v>3</v>
      </c>
      <c r="C1212" s="25">
        <v>9</v>
      </c>
      <c r="D1212" s="25"/>
      <c r="E1212" s="23">
        <v>45390</v>
      </c>
      <c r="F1212" s="23" t="s">
        <v>283</v>
      </c>
      <c r="G1212" s="25" t="s">
        <v>296</v>
      </c>
      <c r="H1212" s="24">
        <v>1</v>
      </c>
      <c r="I1212" s="25" t="s">
        <v>143</v>
      </c>
      <c r="J1212" s="32" t="s">
        <v>7</v>
      </c>
      <c r="K1212" s="24">
        <v>0.68</v>
      </c>
      <c r="L1212" s="9">
        <f t="shared" si="109"/>
        <v>689</v>
      </c>
      <c r="M1212" s="4" t="str">
        <f>IF(Table3[[#This Row],[Afrondingsdatum YB]]="N/A","-",Table3[[#This Row],[Afrondingsdatum YB]]-Table3[[#This Row],[StartDatum]])</f>
        <v>-</v>
      </c>
      <c r="N1212" s="4"/>
      <c r="O1212">
        <f t="shared" si="106"/>
        <v>106</v>
      </c>
      <c r="P1212">
        <f t="shared" si="105"/>
        <v>117</v>
      </c>
      <c r="Q1212">
        <f t="shared" si="105"/>
        <v>108</v>
      </c>
      <c r="R1212">
        <f t="shared" si="105"/>
        <v>105</v>
      </c>
      <c r="S1212">
        <f t="shared" si="105"/>
        <v>97</v>
      </c>
      <c r="T1212">
        <f t="shared" si="105"/>
        <v>110</v>
      </c>
      <c r="U1212">
        <f t="shared" si="105"/>
        <v>46</v>
      </c>
      <c r="V1212">
        <f t="shared" si="105"/>
        <v>109</v>
      </c>
      <c r="W1212" s="5">
        <f t="shared" si="107"/>
        <v>877</v>
      </c>
      <c r="X1212" s="9" t="str">
        <f t="shared" si="108"/>
        <v>u877</v>
      </c>
    </row>
    <row r="1213" spans="1:24" x14ac:dyDescent="0.2">
      <c r="A1213" s="9" t="s">
        <v>425</v>
      </c>
      <c r="B1213" s="9">
        <v>3</v>
      </c>
      <c r="C1213" s="25">
        <v>9</v>
      </c>
      <c r="D1213" s="25"/>
      <c r="E1213" s="23">
        <v>45390</v>
      </c>
      <c r="F1213" s="23" t="s">
        <v>283</v>
      </c>
      <c r="G1213" s="25" t="s">
        <v>297</v>
      </c>
      <c r="H1213" s="24">
        <v>0.23</v>
      </c>
      <c r="I1213" s="25" t="s">
        <v>144</v>
      </c>
      <c r="J1213" s="32" t="s">
        <v>7</v>
      </c>
      <c r="K1213" s="24" t="s">
        <v>9</v>
      </c>
      <c r="L1213" s="9">
        <f t="shared" si="109"/>
        <v>698</v>
      </c>
      <c r="M1213" s="4" t="str">
        <f>IF(Table3[[#This Row],[Afrondingsdatum YB]]="N/A","-",Table3[[#This Row],[Afrondingsdatum YB]]-Table3[[#This Row],[StartDatum]])</f>
        <v>-</v>
      </c>
      <c r="N1213" s="4"/>
      <c r="O1213">
        <f t="shared" si="106"/>
        <v>106</v>
      </c>
      <c r="P1213">
        <f t="shared" si="105"/>
        <v>117</v>
      </c>
      <c r="Q1213">
        <f t="shared" si="105"/>
        <v>114</v>
      </c>
      <c r="R1213">
        <f t="shared" si="105"/>
        <v>114</v>
      </c>
      <c r="S1213">
        <f t="shared" si="105"/>
        <v>101</v>
      </c>
      <c r="T1213">
        <f t="shared" si="105"/>
        <v>46</v>
      </c>
      <c r="U1213">
        <f t="shared" si="105"/>
        <v>100</v>
      </c>
      <c r="V1213">
        <f t="shared" si="105"/>
        <v>101</v>
      </c>
      <c r="W1213" s="5">
        <f t="shared" si="107"/>
        <v>883</v>
      </c>
      <c r="X1213" s="9" t="str">
        <f t="shared" si="108"/>
        <v>u883</v>
      </c>
    </row>
    <row r="1214" spans="1:24" x14ac:dyDescent="0.2">
      <c r="A1214" s="9" t="s">
        <v>425</v>
      </c>
      <c r="B1214" s="9">
        <v>3</v>
      </c>
      <c r="C1214" s="25">
        <v>9</v>
      </c>
      <c r="D1214" s="25"/>
      <c r="E1214" s="23">
        <v>45390</v>
      </c>
      <c r="F1214" s="23" t="s">
        <v>280</v>
      </c>
      <c r="G1214" s="25" t="s">
        <v>298</v>
      </c>
      <c r="H1214" s="24">
        <v>0.02</v>
      </c>
      <c r="I1214" s="25" t="s">
        <v>326</v>
      </c>
      <c r="J1214" s="32" t="s">
        <v>7</v>
      </c>
      <c r="K1214" s="24" t="s">
        <v>9</v>
      </c>
      <c r="L1214" s="9">
        <f t="shared" si="109"/>
        <v>685</v>
      </c>
      <c r="M1214" s="4" t="str">
        <f>IF(Table3[[#This Row],[Afrondingsdatum YB]]="N/A","-",Table3[[#This Row],[Afrondingsdatum YB]]-Table3[[#This Row],[StartDatum]])</f>
        <v>-</v>
      </c>
      <c r="N1214" s="4"/>
      <c r="O1214">
        <f t="shared" si="106"/>
        <v>75</v>
      </c>
      <c r="P1214">
        <f t="shared" si="105"/>
        <v>121</v>
      </c>
      <c r="Q1214">
        <f t="shared" si="105"/>
        <v>114</v>
      </c>
      <c r="R1214">
        <f t="shared" si="105"/>
        <v>111</v>
      </c>
      <c r="S1214">
        <f t="shared" si="105"/>
        <v>110</v>
      </c>
      <c r="T1214">
        <f t="shared" si="105"/>
        <v>46</v>
      </c>
      <c r="U1214">
        <f t="shared" si="105"/>
        <v>108</v>
      </c>
      <c r="V1214">
        <f t="shared" si="105"/>
        <v>101</v>
      </c>
      <c r="W1214" s="5">
        <f t="shared" si="107"/>
        <v>870</v>
      </c>
      <c r="X1214" s="9" t="str">
        <f t="shared" si="108"/>
        <v>y870</v>
      </c>
    </row>
    <row r="1215" spans="1:24" x14ac:dyDescent="0.2">
      <c r="A1215" s="9" t="s">
        <v>425</v>
      </c>
      <c r="B1215" s="9">
        <v>3</v>
      </c>
      <c r="C1215" s="25">
        <v>9</v>
      </c>
      <c r="D1215" s="25"/>
      <c r="E1215" s="23">
        <v>45390</v>
      </c>
      <c r="F1215" s="23" t="s">
        <v>280</v>
      </c>
      <c r="G1215" s="25" t="s">
        <v>300</v>
      </c>
      <c r="H1215" s="24">
        <v>0.14000000000000001</v>
      </c>
      <c r="I1215" s="25" t="s">
        <v>184</v>
      </c>
      <c r="J1215" s="32" t="s">
        <v>7</v>
      </c>
      <c r="K1215" s="24" t="s">
        <v>9</v>
      </c>
      <c r="L1215" s="9">
        <f t="shared" si="109"/>
        <v>761</v>
      </c>
      <c r="M1215" s="4" t="str">
        <f>IF(Table3[[#This Row],[Afrondingsdatum YB]]="N/A","-",Table3[[#This Row],[Afrondingsdatum YB]]-Table3[[#This Row],[StartDatum]])</f>
        <v>-</v>
      </c>
      <c r="N1215" s="4"/>
      <c r="O1215">
        <f t="shared" si="106"/>
        <v>108</v>
      </c>
      <c r="P1215">
        <f t="shared" si="105"/>
        <v>117</v>
      </c>
      <c r="Q1215">
        <f t="shared" si="105"/>
        <v>99</v>
      </c>
      <c r="R1215">
        <f t="shared" si="105"/>
        <v>105</v>
      </c>
      <c r="S1215">
        <f t="shared" si="105"/>
        <v>97</v>
      </c>
      <c r="T1215">
        <f t="shared" si="105"/>
        <v>121</v>
      </c>
      <c r="U1215">
        <f t="shared" si="105"/>
        <v>114</v>
      </c>
      <c r="V1215">
        <f t="shared" si="105"/>
        <v>111</v>
      </c>
      <c r="W1215" s="5">
        <f t="shared" si="107"/>
        <v>933</v>
      </c>
      <c r="X1215" s="9" t="str">
        <f t="shared" si="108"/>
        <v>u933</v>
      </c>
    </row>
    <row r="1216" spans="1:24" x14ac:dyDescent="0.2">
      <c r="A1216" s="9" t="s">
        <v>425</v>
      </c>
      <c r="B1216" s="9">
        <v>3</v>
      </c>
      <c r="C1216" s="25">
        <v>9</v>
      </c>
      <c r="D1216" s="25"/>
      <c r="E1216" s="23">
        <v>45390</v>
      </c>
      <c r="F1216" s="23" t="s">
        <v>283</v>
      </c>
      <c r="G1216" s="25" t="s">
        <v>301</v>
      </c>
      <c r="H1216" s="24">
        <v>1</v>
      </c>
      <c r="I1216" s="25" t="s">
        <v>345</v>
      </c>
      <c r="J1216" s="32">
        <v>45380</v>
      </c>
      <c r="K1216" s="24">
        <v>0.78</v>
      </c>
      <c r="L1216" s="9">
        <f t="shared" si="109"/>
        <v>762</v>
      </c>
      <c r="M1216" s="4">
        <f>IF(Table3[[#This Row],[Afrondingsdatum YB]]="N/A","-",Table3[[#This Row],[Afrondingsdatum YB]]-Table3[[#This Row],[StartDatum]])</f>
        <v>45380</v>
      </c>
      <c r="N1216" s="4"/>
      <c r="O1216">
        <f t="shared" si="106"/>
        <v>108</v>
      </c>
      <c r="P1216">
        <f t="shared" si="105"/>
        <v>121</v>
      </c>
      <c r="Q1216">
        <f t="shared" si="105"/>
        <v>115</v>
      </c>
      <c r="R1216">
        <f t="shared" si="105"/>
        <v>97</v>
      </c>
      <c r="S1216">
        <f t="shared" si="105"/>
        <v>110</v>
      </c>
      <c r="T1216">
        <f t="shared" si="105"/>
        <v>110</v>
      </c>
      <c r="U1216">
        <f t="shared" si="105"/>
        <v>101</v>
      </c>
      <c r="V1216">
        <f t="shared" si="105"/>
        <v>46</v>
      </c>
      <c r="W1216" s="5">
        <f t="shared" si="107"/>
        <v>905</v>
      </c>
      <c r="X1216" s="9" t="str">
        <f t="shared" si="108"/>
        <v>y905</v>
      </c>
    </row>
    <row r="1217" spans="1:24" x14ac:dyDescent="0.2">
      <c r="A1217" s="9" t="s">
        <v>425</v>
      </c>
      <c r="B1217" s="9">
        <v>3</v>
      </c>
      <c r="C1217" s="25">
        <v>9</v>
      </c>
      <c r="D1217" s="25"/>
      <c r="E1217" s="23">
        <v>45390</v>
      </c>
      <c r="F1217" s="23" t="s">
        <v>283</v>
      </c>
      <c r="G1217" s="25" t="s">
        <v>302</v>
      </c>
      <c r="H1217" s="24">
        <v>1</v>
      </c>
      <c r="I1217" s="25" t="s">
        <v>207</v>
      </c>
      <c r="J1217" s="32">
        <v>45348</v>
      </c>
      <c r="K1217" s="24">
        <v>0.95</v>
      </c>
      <c r="L1217" s="9">
        <f t="shared" si="109"/>
        <v>697</v>
      </c>
      <c r="M1217" s="4">
        <f>IF(Table3[[#This Row],[Afrondingsdatum YB]]="N/A","-",Table3[[#This Row],[Afrondingsdatum YB]]-Table3[[#This Row],[StartDatum]])</f>
        <v>45348</v>
      </c>
      <c r="N1217" s="4"/>
      <c r="O1217">
        <f t="shared" si="106"/>
        <v>109</v>
      </c>
      <c r="P1217">
        <f t="shared" si="105"/>
        <v>101</v>
      </c>
      <c r="Q1217">
        <f t="shared" si="105"/>
        <v>108</v>
      </c>
      <c r="R1217">
        <f t="shared" si="105"/>
        <v>118</v>
      </c>
      <c r="S1217">
        <f t="shared" si="105"/>
        <v>105</v>
      </c>
      <c r="T1217">
        <f t="shared" si="105"/>
        <v>110</v>
      </c>
      <c r="U1217">
        <f t="shared" si="105"/>
        <v>46</v>
      </c>
      <c r="V1217">
        <f t="shared" si="105"/>
        <v>98</v>
      </c>
      <c r="W1217" s="5">
        <f t="shared" si="107"/>
        <v>872</v>
      </c>
      <c r="X1217" s="9" t="str">
        <f t="shared" si="108"/>
        <v>e872</v>
      </c>
    </row>
    <row r="1218" spans="1:24" x14ac:dyDescent="0.2">
      <c r="A1218" s="9" t="s">
        <v>425</v>
      </c>
      <c r="B1218" s="9">
        <v>3</v>
      </c>
      <c r="C1218" s="25">
        <v>9</v>
      </c>
      <c r="D1218" s="25"/>
      <c r="E1218" s="23">
        <v>45390</v>
      </c>
      <c r="F1218" s="23" t="s">
        <v>280</v>
      </c>
      <c r="G1218" s="25" t="s">
        <v>339</v>
      </c>
      <c r="H1218" s="24">
        <v>0</v>
      </c>
      <c r="I1218" s="25" t="s">
        <v>8</v>
      </c>
      <c r="J1218" s="32" t="s">
        <v>7</v>
      </c>
      <c r="K1218" s="24" t="s">
        <v>9</v>
      </c>
      <c r="L1218" s="9">
        <f t="shared" si="109"/>
        <v>731</v>
      </c>
      <c r="M1218" s="4" t="str">
        <f>IF(Table3[[#This Row],[Afrondingsdatum YB]]="N/A","-",Table3[[#This Row],[Afrondingsdatum YB]]-Table3[[#This Row],[StartDatum]])</f>
        <v>-</v>
      </c>
      <c r="N1218" s="4"/>
      <c r="O1218">
        <f t="shared" si="106"/>
        <v>109</v>
      </c>
      <c r="P1218">
        <f t="shared" si="105"/>
        <v>111</v>
      </c>
      <c r="Q1218">
        <f t="shared" si="105"/>
        <v>104</v>
      </c>
      <c r="R1218">
        <f t="shared" si="105"/>
        <v>97</v>
      </c>
      <c r="S1218">
        <f t="shared" si="105"/>
        <v>109</v>
      </c>
      <c r="T1218">
        <f t="shared" si="105"/>
        <v>101</v>
      </c>
      <c r="U1218">
        <f t="shared" si="105"/>
        <v>100</v>
      </c>
      <c r="V1218">
        <f t="shared" si="105"/>
        <v>46</v>
      </c>
      <c r="W1218" s="5">
        <f t="shared" si="107"/>
        <v>857</v>
      </c>
      <c r="X1218" s="9" t="str">
        <f t="shared" si="108"/>
        <v>o857</v>
      </c>
    </row>
    <row r="1219" spans="1:24" x14ac:dyDescent="0.2">
      <c r="A1219" s="9" t="s">
        <v>425</v>
      </c>
      <c r="B1219" s="9">
        <v>3</v>
      </c>
      <c r="C1219" s="25">
        <v>9</v>
      </c>
      <c r="D1219" s="25"/>
      <c r="E1219" s="23">
        <v>45390</v>
      </c>
      <c r="F1219" s="23" t="s">
        <v>283</v>
      </c>
      <c r="G1219" s="25" t="s">
        <v>303</v>
      </c>
      <c r="H1219" s="24">
        <v>1</v>
      </c>
      <c r="I1219" s="25" t="s">
        <v>185</v>
      </c>
      <c r="J1219" s="32">
        <v>45383</v>
      </c>
      <c r="K1219" s="24">
        <v>0.75</v>
      </c>
      <c r="L1219" s="9">
        <f t="shared" si="109"/>
        <v>691</v>
      </c>
      <c r="M1219" s="4">
        <f>IF(Table3[[#This Row],[Afrondingsdatum YB]]="N/A","-",Table3[[#This Row],[Afrondingsdatum YB]]-Table3[[#This Row],[StartDatum]])</f>
        <v>45383</v>
      </c>
      <c r="N1219" s="4"/>
      <c r="O1219">
        <f t="shared" si="106"/>
        <v>109</v>
      </c>
      <c r="P1219">
        <f t="shared" si="105"/>
        <v>111</v>
      </c>
      <c r="Q1219">
        <f t="shared" si="105"/>
        <v>104</v>
      </c>
      <c r="R1219">
        <f t="shared" si="105"/>
        <v>105</v>
      </c>
      <c r="S1219">
        <f t="shared" si="105"/>
        <v>116</v>
      </c>
      <c r="T1219">
        <f t="shared" si="105"/>
        <v>46</v>
      </c>
      <c r="U1219">
        <f t="shared" si="105"/>
        <v>100</v>
      </c>
      <c r="V1219">
        <f t="shared" si="105"/>
        <v>97</v>
      </c>
      <c r="W1219" s="5">
        <f t="shared" si="107"/>
        <v>862</v>
      </c>
      <c r="X1219" s="9" t="str">
        <f t="shared" si="108"/>
        <v>o862</v>
      </c>
    </row>
    <row r="1220" spans="1:24" x14ac:dyDescent="0.2">
      <c r="A1220" s="9" t="s">
        <v>425</v>
      </c>
      <c r="B1220" s="9">
        <v>3</v>
      </c>
      <c r="C1220" s="25">
        <v>9</v>
      </c>
      <c r="D1220" s="25"/>
      <c r="E1220" s="23">
        <v>45390</v>
      </c>
      <c r="F1220" s="23" t="s">
        <v>280</v>
      </c>
      <c r="G1220" s="25" t="s">
        <v>304</v>
      </c>
      <c r="H1220" s="24">
        <v>0.22</v>
      </c>
      <c r="I1220" s="25" t="s">
        <v>328</v>
      </c>
      <c r="J1220" s="32" t="s">
        <v>7</v>
      </c>
      <c r="K1220" s="24" t="s">
        <v>9</v>
      </c>
      <c r="L1220" s="9">
        <f t="shared" si="109"/>
        <v>706</v>
      </c>
      <c r="M1220" s="4" t="str">
        <f>IF(Table3[[#This Row],[Afrondingsdatum YB]]="N/A","-",Table3[[#This Row],[Afrondingsdatum YB]]-Table3[[#This Row],[StartDatum]])</f>
        <v>-</v>
      </c>
      <c r="N1220" s="4"/>
      <c r="O1220">
        <f t="shared" si="106"/>
        <v>109</v>
      </c>
      <c r="P1220">
        <f t="shared" si="105"/>
        <v>111</v>
      </c>
      <c r="Q1220">
        <f t="shared" si="105"/>
        <v>108</v>
      </c>
      <c r="R1220">
        <f t="shared" si="105"/>
        <v>105</v>
      </c>
      <c r="S1220">
        <f t="shared" si="105"/>
        <v>116</v>
      </c>
      <c r="T1220">
        <f t="shared" si="105"/>
        <v>111</v>
      </c>
      <c r="U1220">
        <f t="shared" si="105"/>
        <v>46</v>
      </c>
      <c r="V1220">
        <f t="shared" si="105"/>
        <v>102</v>
      </c>
      <c r="W1220" s="5">
        <f t="shared" si="107"/>
        <v>890</v>
      </c>
      <c r="X1220" s="9" t="str">
        <f t="shared" si="108"/>
        <v>o890</v>
      </c>
    </row>
    <row r="1221" spans="1:24" x14ac:dyDescent="0.2">
      <c r="A1221" s="9" t="s">
        <v>425</v>
      </c>
      <c r="B1221" s="9">
        <v>3</v>
      </c>
      <c r="C1221" s="25">
        <v>9</v>
      </c>
      <c r="D1221" s="25"/>
      <c r="E1221" s="23">
        <v>45390</v>
      </c>
      <c r="F1221" s="23" t="s">
        <v>283</v>
      </c>
      <c r="G1221" s="25" t="s">
        <v>305</v>
      </c>
      <c r="H1221" s="24">
        <v>1</v>
      </c>
      <c r="I1221" s="25" t="s">
        <v>346</v>
      </c>
      <c r="J1221" s="32">
        <v>45377</v>
      </c>
      <c r="K1221" s="24">
        <v>0.83</v>
      </c>
      <c r="L1221" s="9">
        <f t="shared" si="109"/>
        <v>726</v>
      </c>
      <c r="M1221" s="4">
        <f>IF(Table3[[#This Row],[Afrondingsdatum YB]]="N/A","-",Table3[[#This Row],[Afrondingsdatum YB]]-Table3[[#This Row],[StartDatum]])</f>
        <v>45377</v>
      </c>
      <c r="N1221" s="4"/>
      <c r="O1221">
        <f t="shared" si="106"/>
        <v>77</v>
      </c>
      <c r="P1221">
        <f t="shared" si="105"/>
        <v>117</v>
      </c>
      <c r="Q1221">
        <f t="shared" si="105"/>
        <v>100</v>
      </c>
      <c r="R1221">
        <f t="shared" si="105"/>
        <v>97</v>
      </c>
      <c r="S1221">
        <f t="shared" si="105"/>
        <v>115</v>
      </c>
      <c r="T1221">
        <f t="shared" si="105"/>
        <v>115</v>
      </c>
      <c r="U1221">
        <f t="shared" si="105"/>
        <v>105</v>
      </c>
      <c r="V1221">
        <f t="shared" si="105"/>
        <v>114</v>
      </c>
      <c r="W1221" s="5">
        <f t="shared" si="107"/>
        <v>909</v>
      </c>
      <c r="X1221" s="9" t="str">
        <f t="shared" si="108"/>
        <v>u909</v>
      </c>
    </row>
    <row r="1222" spans="1:24" x14ac:dyDescent="0.2">
      <c r="A1222" s="9" t="s">
        <v>425</v>
      </c>
      <c r="B1222" s="9">
        <v>3</v>
      </c>
      <c r="C1222" s="25">
        <v>9</v>
      </c>
      <c r="D1222" s="25"/>
      <c r="E1222" s="23">
        <v>45390</v>
      </c>
      <c r="F1222" s="23" t="s">
        <v>280</v>
      </c>
      <c r="G1222" s="25" t="s">
        <v>306</v>
      </c>
      <c r="H1222" s="24">
        <v>0.99</v>
      </c>
      <c r="I1222" s="25" t="s">
        <v>139</v>
      </c>
      <c r="J1222" s="32" t="s">
        <v>7</v>
      </c>
      <c r="K1222" s="24" t="s">
        <v>9</v>
      </c>
      <c r="L1222" s="9">
        <f t="shared" si="109"/>
        <v>684</v>
      </c>
      <c r="M1222" s="4" t="str">
        <f>IF(Table3[[#This Row],[Afrondingsdatum YB]]="N/A","-",Table3[[#This Row],[Afrondingsdatum YB]]-Table3[[#This Row],[StartDatum]])</f>
        <v>-</v>
      </c>
      <c r="N1222" s="4"/>
      <c r="O1222">
        <f t="shared" si="106"/>
        <v>110</v>
      </c>
      <c r="P1222">
        <f t="shared" si="105"/>
        <v>97</v>
      </c>
      <c r="Q1222">
        <f t="shared" si="105"/>
        <v>114</v>
      </c>
      <c r="R1222">
        <f t="shared" si="105"/>
        <v>101</v>
      </c>
      <c r="S1222">
        <f t="shared" si="105"/>
        <v>107</v>
      </c>
      <c r="T1222">
        <f t="shared" ref="P1222:V1258" si="110">CODE(MID($G1222,T$1,1))</f>
        <v>46</v>
      </c>
      <c r="U1222">
        <f t="shared" si="110"/>
        <v>109</v>
      </c>
      <c r="V1222">
        <f t="shared" si="110"/>
        <v>97</v>
      </c>
      <c r="W1222" s="5">
        <f t="shared" si="107"/>
        <v>885</v>
      </c>
      <c r="X1222" s="9" t="str">
        <f t="shared" si="108"/>
        <v>a885</v>
      </c>
    </row>
    <row r="1223" spans="1:24" x14ac:dyDescent="0.2">
      <c r="A1223" s="9" t="s">
        <v>425</v>
      </c>
      <c r="B1223" s="9">
        <v>3</v>
      </c>
      <c r="C1223" s="25">
        <v>9</v>
      </c>
      <c r="D1223" s="25"/>
      <c r="E1223" s="23">
        <v>45390</v>
      </c>
      <c r="F1223" s="23" t="s">
        <v>280</v>
      </c>
      <c r="G1223" s="25" t="s">
        <v>347</v>
      </c>
      <c r="H1223" s="24">
        <v>0.05</v>
      </c>
      <c r="I1223" s="25" t="s">
        <v>96</v>
      </c>
      <c r="J1223" s="32" t="s">
        <v>7</v>
      </c>
      <c r="K1223" s="24" t="s">
        <v>9</v>
      </c>
      <c r="L1223" s="9">
        <f t="shared" si="109"/>
        <v>672</v>
      </c>
      <c r="M1223" s="4" t="str">
        <f>IF(Table3[[#This Row],[Afrondingsdatum YB]]="N/A","-",Table3[[#This Row],[Afrondingsdatum YB]]-Table3[[#This Row],[StartDatum]])</f>
        <v>-</v>
      </c>
      <c r="N1223" s="4"/>
      <c r="O1223">
        <f t="shared" si="106"/>
        <v>111</v>
      </c>
      <c r="P1223">
        <f t="shared" si="110"/>
        <v>109</v>
      </c>
      <c r="Q1223">
        <f t="shared" si="110"/>
        <v>97</v>
      </c>
      <c r="R1223">
        <f t="shared" si="110"/>
        <v>114</v>
      </c>
      <c r="S1223">
        <f t="shared" si="110"/>
        <v>46</v>
      </c>
      <c r="T1223">
        <f t="shared" si="110"/>
        <v>97</v>
      </c>
      <c r="U1223">
        <f t="shared" si="110"/>
        <v>98</v>
      </c>
      <c r="V1223">
        <f t="shared" si="110"/>
        <v>100</v>
      </c>
      <c r="W1223" s="5">
        <f t="shared" si="107"/>
        <v>826</v>
      </c>
      <c r="X1223" s="9" t="str">
        <f t="shared" si="108"/>
        <v>m826</v>
      </c>
    </row>
    <row r="1224" spans="1:24" x14ac:dyDescent="0.2">
      <c r="A1224" s="9" t="s">
        <v>425</v>
      </c>
      <c r="B1224" s="9">
        <v>3</v>
      </c>
      <c r="C1224" s="25">
        <v>9</v>
      </c>
      <c r="D1224" s="25"/>
      <c r="E1224" s="23">
        <v>45390</v>
      </c>
      <c r="F1224" s="23" t="s">
        <v>283</v>
      </c>
      <c r="G1224" s="25" t="s">
        <v>307</v>
      </c>
      <c r="H1224" s="24">
        <v>1</v>
      </c>
      <c r="I1224" s="25" t="s">
        <v>243</v>
      </c>
      <c r="J1224" s="32">
        <v>45345</v>
      </c>
      <c r="K1224" s="24">
        <v>0.98</v>
      </c>
      <c r="L1224" s="9">
        <f t="shared" si="109"/>
        <v>695</v>
      </c>
      <c r="M1224" s="4">
        <f>IF(Table3[[#This Row],[Afrondingsdatum YB]]="N/A","-",Table3[[#This Row],[Afrondingsdatum YB]]-Table3[[#This Row],[StartDatum]])</f>
        <v>45345</v>
      </c>
      <c r="N1224" s="4"/>
      <c r="O1224">
        <f t="shared" si="106"/>
        <v>114</v>
      </c>
      <c r="P1224">
        <f t="shared" si="110"/>
        <v>101</v>
      </c>
      <c r="Q1224">
        <f t="shared" si="110"/>
        <v>109</v>
      </c>
      <c r="R1224">
        <f t="shared" si="110"/>
        <v>121</v>
      </c>
      <c r="S1224">
        <f t="shared" si="110"/>
        <v>46</v>
      </c>
      <c r="T1224">
        <f t="shared" si="110"/>
        <v>97</v>
      </c>
      <c r="U1224">
        <f t="shared" si="110"/>
        <v>107</v>
      </c>
      <c r="V1224">
        <f t="shared" si="110"/>
        <v>98</v>
      </c>
      <c r="W1224" s="5">
        <f t="shared" si="107"/>
        <v>870</v>
      </c>
      <c r="X1224" s="9" t="str">
        <f t="shared" si="108"/>
        <v>e870</v>
      </c>
    </row>
    <row r="1225" spans="1:24" x14ac:dyDescent="0.2">
      <c r="A1225" s="9" t="s">
        <v>425</v>
      </c>
      <c r="B1225" s="9">
        <v>3</v>
      </c>
      <c r="C1225" s="25">
        <v>9</v>
      </c>
      <c r="D1225" s="25"/>
      <c r="E1225" s="23">
        <v>45390</v>
      </c>
      <c r="F1225" s="23" t="s">
        <v>283</v>
      </c>
      <c r="G1225" s="25" t="s">
        <v>348</v>
      </c>
      <c r="H1225" s="24">
        <v>1</v>
      </c>
      <c r="I1225" s="25" t="s">
        <v>205</v>
      </c>
      <c r="J1225" s="32">
        <v>45378</v>
      </c>
      <c r="K1225" s="24">
        <v>0.73</v>
      </c>
      <c r="L1225" s="9">
        <f t="shared" si="109"/>
        <v>766</v>
      </c>
      <c r="M1225" s="4">
        <f>IF(Table3[[#This Row],[Afrondingsdatum YB]]="N/A","-",Table3[[#This Row],[Afrondingsdatum YB]]-Table3[[#This Row],[StartDatum]])</f>
        <v>45378</v>
      </c>
      <c r="N1225" s="4"/>
      <c r="O1225">
        <f t="shared" si="106"/>
        <v>114</v>
      </c>
      <c r="P1225">
        <f t="shared" si="110"/>
        <v>111</v>
      </c>
      <c r="Q1225">
        <f t="shared" si="110"/>
        <v>109</v>
      </c>
      <c r="R1225">
        <f t="shared" si="110"/>
        <v>97</v>
      </c>
      <c r="S1225">
        <f t="shared" si="110"/>
        <v>105</v>
      </c>
      <c r="T1225">
        <f t="shared" si="110"/>
        <v>115</v>
      </c>
      <c r="U1225">
        <f t="shared" si="110"/>
        <v>115</v>
      </c>
      <c r="V1225">
        <f t="shared" si="110"/>
        <v>97</v>
      </c>
      <c r="W1225" s="5">
        <f t="shared" si="107"/>
        <v>953</v>
      </c>
      <c r="X1225" s="9" t="str">
        <f t="shared" si="108"/>
        <v>o953</v>
      </c>
    </row>
    <row r="1226" spans="1:24" x14ac:dyDescent="0.2">
      <c r="A1226" s="9" t="s">
        <v>425</v>
      </c>
      <c r="B1226" s="9">
        <v>3</v>
      </c>
      <c r="C1226" s="25">
        <v>9</v>
      </c>
      <c r="D1226" s="25"/>
      <c r="E1226" s="23">
        <v>45390</v>
      </c>
      <c r="F1226" s="23" t="s">
        <v>280</v>
      </c>
      <c r="G1226" s="25" t="s">
        <v>308</v>
      </c>
      <c r="H1226" s="24">
        <v>0</v>
      </c>
      <c r="I1226" s="25" t="s">
        <v>8</v>
      </c>
      <c r="J1226" s="32" t="s">
        <v>7</v>
      </c>
      <c r="K1226" s="24" t="s">
        <v>9</v>
      </c>
      <c r="L1226" s="9">
        <f t="shared" si="109"/>
        <v>712</v>
      </c>
      <c r="M1226" s="4" t="str">
        <f>IF(Table3[[#This Row],[Afrondingsdatum YB]]="N/A","-",Table3[[#This Row],[Afrondingsdatum YB]]-Table3[[#This Row],[StartDatum]])</f>
        <v>-</v>
      </c>
      <c r="N1226" s="4"/>
      <c r="O1226">
        <f t="shared" si="106"/>
        <v>114</v>
      </c>
      <c r="P1226">
        <f t="shared" si="110"/>
        <v>111</v>
      </c>
      <c r="Q1226">
        <f t="shared" si="110"/>
        <v>119</v>
      </c>
      <c r="R1226">
        <f t="shared" si="110"/>
        <v>97</v>
      </c>
      <c r="S1226">
        <f t="shared" si="110"/>
        <v>110</v>
      </c>
      <c r="T1226">
        <f t="shared" si="110"/>
        <v>46</v>
      </c>
      <c r="U1226">
        <f t="shared" si="110"/>
        <v>115</v>
      </c>
      <c r="V1226">
        <f t="shared" si="110"/>
        <v>97</v>
      </c>
      <c r="W1226" s="5">
        <f t="shared" si="107"/>
        <v>919</v>
      </c>
      <c r="X1226" s="9" t="str">
        <f t="shared" si="108"/>
        <v>o919</v>
      </c>
    </row>
    <row r="1227" spans="1:24" x14ac:dyDescent="0.2">
      <c r="A1227" s="9" t="s">
        <v>425</v>
      </c>
      <c r="B1227" s="9">
        <v>3</v>
      </c>
      <c r="C1227" s="25">
        <v>9</v>
      </c>
      <c r="D1227" s="25"/>
      <c r="E1227" s="23">
        <v>45390</v>
      </c>
      <c r="F1227" s="23" t="s">
        <v>283</v>
      </c>
      <c r="G1227" s="25" t="s">
        <v>309</v>
      </c>
      <c r="H1227" s="24">
        <v>1</v>
      </c>
      <c r="I1227" s="25" t="s">
        <v>351</v>
      </c>
      <c r="J1227" s="32">
        <v>45384</v>
      </c>
      <c r="K1227" s="24">
        <v>0.7</v>
      </c>
      <c r="L1227" s="9">
        <f t="shared" si="109"/>
        <v>736</v>
      </c>
      <c r="M1227" s="4">
        <f>IF(Table3[[#This Row],[Afrondingsdatum YB]]="N/A","-",Table3[[#This Row],[Afrondingsdatum YB]]-Table3[[#This Row],[StartDatum]])</f>
        <v>45384</v>
      </c>
      <c r="N1227" s="4"/>
      <c r="O1227">
        <f t="shared" si="106"/>
        <v>115</v>
      </c>
      <c r="P1227">
        <f t="shared" si="110"/>
        <v>97</v>
      </c>
      <c r="Q1227">
        <f t="shared" si="110"/>
        <v>121</v>
      </c>
      <c r="R1227">
        <f t="shared" si="110"/>
        <v>102</v>
      </c>
      <c r="S1227">
        <f t="shared" si="110"/>
        <v>101</v>
      </c>
      <c r="T1227">
        <f t="shared" si="110"/>
        <v>100</v>
      </c>
      <c r="U1227">
        <f t="shared" si="110"/>
        <v>100</v>
      </c>
      <c r="V1227">
        <f t="shared" si="110"/>
        <v>105</v>
      </c>
      <c r="W1227" s="5">
        <f t="shared" si="107"/>
        <v>958</v>
      </c>
      <c r="X1227" s="9" t="str">
        <f t="shared" si="108"/>
        <v>a958</v>
      </c>
    </row>
    <row r="1228" spans="1:24" x14ac:dyDescent="0.2">
      <c r="A1228" s="9" t="s">
        <v>425</v>
      </c>
      <c r="B1228" s="9">
        <v>3</v>
      </c>
      <c r="C1228" s="25">
        <v>9</v>
      </c>
      <c r="D1228" s="25"/>
      <c r="E1228" s="23">
        <v>45390</v>
      </c>
      <c r="F1228" s="23" t="s">
        <v>280</v>
      </c>
      <c r="G1228" s="25" t="s">
        <v>318</v>
      </c>
      <c r="H1228" s="24">
        <v>0.39</v>
      </c>
      <c r="I1228" s="25" t="s">
        <v>330</v>
      </c>
      <c r="J1228" s="32" t="s">
        <v>7</v>
      </c>
      <c r="K1228" s="24" t="s">
        <v>9</v>
      </c>
      <c r="L1228" s="9">
        <f t="shared" si="109"/>
        <v>672</v>
      </c>
      <c r="M1228" s="4" t="str">
        <f>IF(Table3[[#This Row],[Afrondingsdatum YB]]="N/A","-",Table3[[#This Row],[Afrondingsdatum YB]]-Table3[[#This Row],[StartDatum]])</f>
        <v>-</v>
      </c>
      <c r="N1228" s="4"/>
      <c r="O1228">
        <f t="shared" si="106"/>
        <v>115</v>
      </c>
      <c r="P1228">
        <f t="shared" si="110"/>
        <v>101</v>
      </c>
      <c r="Q1228">
        <f t="shared" si="110"/>
        <v>98</v>
      </c>
      <c r="R1228">
        <f t="shared" si="110"/>
        <v>97</v>
      </c>
      <c r="S1228">
        <f t="shared" si="110"/>
        <v>115</v>
      </c>
      <c r="T1228">
        <f t="shared" si="110"/>
        <v>46</v>
      </c>
      <c r="U1228">
        <f t="shared" si="110"/>
        <v>100</v>
      </c>
      <c r="V1228">
        <f t="shared" si="110"/>
        <v>101</v>
      </c>
      <c r="W1228" s="5">
        <f t="shared" si="107"/>
        <v>846</v>
      </c>
      <c r="X1228" s="9" t="str">
        <f t="shared" si="108"/>
        <v>e846</v>
      </c>
    </row>
    <row r="1229" spans="1:24" x14ac:dyDescent="0.2">
      <c r="A1229" s="9" t="s">
        <v>425</v>
      </c>
      <c r="B1229" s="9">
        <v>3</v>
      </c>
      <c r="C1229" s="25">
        <v>9</v>
      </c>
      <c r="D1229" s="25"/>
      <c r="E1229" s="23">
        <v>45390</v>
      </c>
      <c r="F1229" s="23" t="s">
        <v>283</v>
      </c>
      <c r="G1229" s="25" t="s">
        <v>310</v>
      </c>
      <c r="H1229" s="24">
        <v>1</v>
      </c>
      <c r="I1229" s="25" t="s">
        <v>352</v>
      </c>
      <c r="J1229" s="32">
        <v>45389</v>
      </c>
      <c r="K1229" s="24">
        <v>0.85</v>
      </c>
      <c r="L1229" s="9">
        <f t="shared" si="109"/>
        <v>724</v>
      </c>
      <c r="M1229" s="4">
        <f>IF(Table3[[#This Row],[Afrondingsdatum YB]]="N/A","-",Table3[[#This Row],[Afrondingsdatum YB]]-Table3[[#This Row],[StartDatum]])</f>
        <v>45389</v>
      </c>
      <c r="N1229" s="4"/>
      <c r="O1229">
        <f t="shared" si="106"/>
        <v>116</v>
      </c>
      <c r="P1229">
        <f t="shared" si="110"/>
        <v>111</v>
      </c>
      <c r="Q1229">
        <f t="shared" si="110"/>
        <v>109</v>
      </c>
      <c r="R1229">
        <f t="shared" si="110"/>
        <v>109</v>
      </c>
      <c r="S1229">
        <f t="shared" si="110"/>
        <v>121</v>
      </c>
      <c r="T1229">
        <f t="shared" si="110"/>
        <v>46</v>
      </c>
      <c r="U1229">
        <f t="shared" si="110"/>
        <v>112</v>
      </c>
      <c r="V1229">
        <f t="shared" si="110"/>
        <v>111</v>
      </c>
      <c r="W1229" s="5">
        <f t="shared" si="107"/>
        <v>916</v>
      </c>
      <c r="X1229" s="9" t="str">
        <f t="shared" si="108"/>
        <v>o916</v>
      </c>
    </row>
    <row r="1230" spans="1:24" x14ac:dyDescent="0.2">
      <c r="A1230" s="9" t="s">
        <v>425</v>
      </c>
      <c r="B1230" s="9">
        <v>3</v>
      </c>
      <c r="C1230" s="25">
        <v>9</v>
      </c>
      <c r="D1230" s="25"/>
      <c r="E1230" s="23">
        <v>45390</v>
      </c>
      <c r="F1230" s="23" t="s">
        <v>280</v>
      </c>
      <c r="G1230" s="25" t="s">
        <v>322</v>
      </c>
      <c r="H1230" s="24">
        <v>1</v>
      </c>
      <c r="I1230" s="25" t="s">
        <v>158</v>
      </c>
      <c r="J1230" s="32">
        <v>45368</v>
      </c>
      <c r="K1230" s="24">
        <v>0.85</v>
      </c>
      <c r="L1230" s="9">
        <f t="shared" si="109"/>
        <v>728</v>
      </c>
      <c r="M1230" s="4">
        <f>IF(Table3[[#This Row],[Afrondingsdatum YB]]="N/A","-",Table3[[#This Row],[Afrondingsdatum YB]]-Table3[[#This Row],[StartDatum]])</f>
        <v>45368</v>
      </c>
      <c r="N1230" s="4"/>
      <c r="O1230">
        <f t="shared" si="106"/>
        <v>120</v>
      </c>
      <c r="P1230">
        <f t="shared" si="110"/>
        <v>117</v>
      </c>
      <c r="Q1230">
        <f t="shared" si="110"/>
        <v>121</v>
      </c>
      <c r="R1230">
        <f t="shared" si="110"/>
        <v>117</v>
      </c>
      <c r="S1230">
        <f t="shared" si="110"/>
        <v>97</v>
      </c>
      <c r="T1230">
        <f t="shared" si="110"/>
        <v>110</v>
      </c>
      <c r="U1230">
        <f t="shared" si="110"/>
        <v>46</v>
      </c>
      <c r="V1230">
        <f t="shared" si="110"/>
        <v>121</v>
      </c>
      <c r="W1230" s="5">
        <f t="shared" si="107"/>
        <v>945</v>
      </c>
      <c r="X1230" s="9" t="str">
        <f t="shared" si="108"/>
        <v>u945</v>
      </c>
    </row>
    <row r="1231" spans="1:24" x14ac:dyDescent="0.2">
      <c r="A1231" s="9" t="s">
        <v>425</v>
      </c>
      <c r="B1231" s="9">
        <v>3</v>
      </c>
      <c r="C1231" s="25">
        <v>9</v>
      </c>
      <c r="D1231" s="25"/>
      <c r="E1231" s="23">
        <v>45390</v>
      </c>
      <c r="F1231" s="23" t="s">
        <v>283</v>
      </c>
      <c r="G1231" s="25" t="s">
        <v>311</v>
      </c>
      <c r="H1231" s="24">
        <v>1</v>
      </c>
      <c r="I1231" s="25" t="s">
        <v>164</v>
      </c>
      <c r="J1231" s="32">
        <v>45383</v>
      </c>
      <c r="K1231" s="24">
        <v>0.78</v>
      </c>
      <c r="L1231" s="9">
        <f t="shared" si="109"/>
        <v>758</v>
      </c>
      <c r="M1231" s="4">
        <f>IF(Table3[[#This Row],[Afrondingsdatum YB]]="N/A","-",Table3[[#This Row],[Afrondingsdatum YB]]-Table3[[#This Row],[StartDatum]])</f>
        <v>45383</v>
      </c>
      <c r="N1231" s="4"/>
      <c r="O1231">
        <f t="shared" si="106"/>
        <v>121</v>
      </c>
      <c r="P1231">
        <f t="shared" si="110"/>
        <v>97</v>
      </c>
      <c r="Q1231">
        <f t="shared" si="110"/>
        <v>115</v>
      </c>
      <c r="R1231">
        <f t="shared" si="110"/>
        <v>109</v>
      </c>
      <c r="S1231">
        <f t="shared" si="110"/>
        <v>105</v>
      </c>
      <c r="T1231">
        <f t="shared" si="110"/>
        <v>110</v>
      </c>
      <c r="U1231">
        <f t="shared" si="110"/>
        <v>101</v>
      </c>
      <c r="V1231">
        <f t="shared" si="110"/>
        <v>46</v>
      </c>
      <c r="W1231" s="5">
        <f t="shared" si="107"/>
        <v>904</v>
      </c>
      <c r="X1231" s="9" t="str">
        <f t="shared" si="108"/>
        <v>a904</v>
      </c>
    </row>
    <row r="1232" spans="1:24" x14ac:dyDescent="0.2">
      <c r="A1232" s="9" t="s">
        <v>425</v>
      </c>
      <c r="B1232" s="9">
        <v>3</v>
      </c>
      <c r="C1232" s="25">
        <v>9</v>
      </c>
      <c r="D1232" s="25"/>
      <c r="E1232" s="23">
        <v>45390</v>
      </c>
      <c r="F1232" s="23" t="s">
        <v>283</v>
      </c>
      <c r="G1232" s="25" t="s">
        <v>340</v>
      </c>
      <c r="H1232" s="24">
        <v>1</v>
      </c>
      <c r="I1232" s="25" t="s">
        <v>341</v>
      </c>
      <c r="J1232" s="32">
        <v>45375</v>
      </c>
      <c r="K1232" s="24">
        <v>0.9</v>
      </c>
      <c r="L1232" s="9">
        <f t="shared" si="109"/>
        <v>782</v>
      </c>
      <c r="M1232" s="4">
        <f>IF(Table3[[#This Row],[Afrondingsdatum YB]]="N/A","-",Table3[[#This Row],[Afrondingsdatum YB]]-Table3[[#This Row],[StartDatum]])</f>
        <v>45375</v>
      </c>
      <c r="N1232" s="4"/>
      <c r="O1232">
        <f t="shared" si="106"/>
        <v>121</v>
      </c>
      <c r="P1232">
        <f t="shared" si="110"/>
        <v>111</v>
      </c>
      <c r="Q1232">
        <f t="shared" si="110"/>
        <v>117</v>
      </c>
      <c r="R1232">
        <f t="shared" si="110"/>
        <v>115</v>
      </c>
      <c r="S1232">
        <f t="shared" si="110"/>
        <v>115</v>
      </c>
      <c r="T1232">
        <f t="shared" si="110"/>
        <v>101</v>
      </c>
      <c r="U1232">
        <f t="shared" si="110"/>
        <v>102</v>
      </c>
      <c r="V1232">
        <f t="shared" si="110"/>
        <v>46</v>
      </c>
      <c r="W1232" s="5">
        <f t="shared" si="107"/>
        <v>920</v>
      </c>
      <c r="X1232" s="9" t="str">
        <f t="shared" si="108"/>
        <v>o920</v>
      </c>
    </row>
    <row r="1233" spans="1:24" x14ac:dyDescent="0.2">
      <c r="A1233" s="9" t="s">
        <v>425</v>
      </c>
      <c r="B1233" s="9">
        <v>3</v>
      </c>
      <c r="C1233" s="25">
        <v>9</v>
      </c>
      <c r="D1233" s="25"/>
      <c r="E1233" s="23">
        <v>45390</v>
      </c>
      <c r="F1233" s="23" t="s">
        <v>280</v>
      </c>
      <c r="G1233" s="25" t="s">
        <v>312</v>
      </c>
      <c r="H1233" s="24">
        <v>0.98</v>
      </c>
      <c r="I1233" s="25" t="s">
        <v>159</v>
      </c>
      <c r="J1233" s="32" t="s">
        <v>7</v>
      </c>
      <c r="K1233" s="24" t="s">
        <v>9</v>
      </c>
      <c r="L1233" s="9">
        <f t="shared" si="109"/>
        <v>790</v>
      </c>
      <c r="M1233" s="4" t="str">
        <f>IF(Table3[[#This Row],[Afrondingsdatum YB]]="N/A","-",Table3[[#This Row],[Afrondingsdatum YB]]-Table3[[#This Row],[StartDatum]])</f>
        <v>-</v>
      </c>
      <c r="N1233" s="4"/>
      <c r="O1233">
        <f t="shared" si="106"/>
        <v>121</v>
      </c>
      <c r="P1233">
        <f t="shared" si="110"/>
        <v>111</v>
      </c>
      <c r="Q1233">
        <f t="shared" si="110"/>
        <v>117</v>
      </c>
      <c r="R1233">
        <f t="shared" si="110"/>
        <v>115</v>
      </c>
      <c r="S1233">
        <f t="shared" si="110"/>
        <v>115</v>
      </c>
      <c r="T1233">
        <f t="shared" si="110"/>
        <v>114</v>
      </c>
      <c r="U1233">
        <f t="shared" si="110"/>
        <v>97</v>
      </c>
      <c r="V1233">
        <f t="shared" si="110"/>
        <v>46</v>
      </c>
      <c r="W1233" s="5">
        <f t="shared" si="107"/>
        <v>928</v>
      </c>
      <c r="X1233" s="9" t="str">
        <f t="shared" si="108"/>
        <v>o928</v>
      </c>
    </row>
    <row r="1234" spans="1:24" x14ac:dyDescent="0.2">
      <c r="A1234" s="9" t="s">
        <v>425</v>
      </c>
      <c r="B1234" s="9">
        <v>3</v>
      </c>
      <c r="C1234" s="25">
        <v>9</v>
      </c>
      <c r="D1234" s="25"/>
      <c r="E1234" s="23">
        <v>45390</v>
      </c>
      <c r="F1234" s="23" t="s">
        <v>283</v>
      </c>
      <c r="G1234" s="25" t="s">
        <v>323</v>
      </c>
      <c r="H1234" s="24">
        <v>1</v>
      </c>
      <c r="I1234" s="25" t="s">
        <v>187</v>
      </c>
      <c r="J1234" s="32">
        <v>45384</v>
      </c>
      <c r="K1234" s="24">
        <v>0.75</v>
      </c>
      <c r="L1234" s="9">
        <f t="shared" si="109"/>
        <v>685</v>
      </c>
      <c r="M1234" s="4">
        <f>IF(Table3[[#This Row],[Afrondingsdatum YB]]="N/A","-",Table3[[#This Row],[Afrondingsdatum YB]]-Table3[[#This Row],[StartDatum]])</f>
        <v>45384</v>
      </c>
      <c r="N1234" s="4"/>
      <c r="O1234">
        <f t="shared" si="106"/>
        <v>122</v>
      </c>
      <c r="P1234">
        <f t="shared" si="110"/>
        <v>105</v>
      </c>
      <c r="Q1234">
        <f t="shared" si="110"/>
        <v>97</v>
      </c>
      <c r="R1234">
        <f t="shared" si="110"/>
        <v>46</v>
      </c>
      <c r="S1234">
        <f t="shared" si="110"/>
        <v>100</v>
      </c>
      <c r="T1234">
        <f t="shared" si="110"/>
        <v>105</v>
      </c>
      <c r="U1234">
        <f t="shared" si="110"/>
        <v>110</v>
      </c>
      <c r="V1234">
        <f t="shared" si="110"/>
        <v>109</v>
      </c>
      <c r="W1234" s="5">
        <f t="shared" si="107"/>
        <v>901</v>
      </c>
      <c r="X1234" s="9" t="str">
        <f t="shared" si="108"/>
        <v>i901</v>
      </c>
    </row>
    <row r="1235" spans="1:24" x14ac:dyDescent="0.2">
      <c r="A1235" s="9" t="s">
        <v>425</v>
      </c>
      <c r="B1235" s="9">
        <v>3</v>
      </c>
      <c r="C1235" s="25">
        <v>10</v>
      </c>
      <c r="D1235" s="25"/>
      <c r="E1235" s="23">
        <v>45397</v>
      </c>
      <c r="F1235" s="23" t="s">
        <v>280</v>
      </c>
      <c r="G1235" s="25" t="s">
        <v>281</v>
      </c>
      <c r="H1235" s="24">
        <v>1</v>
      </c>
      <c r="I1235" s="25" t="s">
        <v>331</v>
      </c>
      <c r="J1235" s="32">
        <v>45373</v>
      </c>
      <c r="K1235" s="24">
        <v>0.8</v>
      </c>
      <c r="L1235" s="9">
        <f t="shared" si="109"/>
        <v>717</v>
      </c>
      <c r="M1235" s="4">
        <f>IF(Table3[[#This Row],[Afrondingsdatum YB]]="N/A","-",Table3[[#This Row],[Afrondingsdatum YB]]-Table3[[#This Row],[StartDatum]])</f>
        <v>45373</v>
      </c>
      <c r="N1235" s="4"/>
      <c r="O1235">
        <f t="shared" si="106"/>
        <v>97</v>
      </c>
      <c r="P1235">
        <f t="shared" si="110"/>
        <v>98</v>
      </c>
      <c r="Q1235">
        <f t="shared" si="110"/>
        <v>100</v>
      </c>
      <c r="R1235">
        <f t="shared" si="110"/>
        <v>101</v>
      </c>
      <c r="S1235">
        <f t="shared" si="110"/>
        <v>108</v>
      </c>
      <c r="T1235">
        <f t="shared" si="110"/>
        <v>105</v>
      </c>
      <c r="U1235">
        <f t="shared" si="110"/>
        <v>108</v>
      </c>
      <c r="V1235">
        <f t="shared" si="110"/>
        <v>97</v>
      </c>
      <c r="W1235" s="5">
        <f t="shared" si="107"/>
        <v>889</v>
      </c>
      <c r="X1235" s="9" t="str">
        <f t="shared" si="108"/>
        <v>b889</v>
      </c>
    </row>
    <row r="1236" spans="1:24" x14ac:dyDescent="0.2">
      <c r="A1236" s="9" t="s">
        <v>425</v>
      </c>
      <c r="B1236" s="9">
        <v>3</v>
      </c>
      <c r="C1236" s="25">
        <v>10</v>
      </c>
      <c r="D1236" s="25"/>
      <c r="E1236" s="23">
        <v>45397</v>
      </c>
      <c r="F1236" s="23" t="s">
        <v>280</v>
      </c>
      <c r="G1236" s="25" t="s">
        <v>282</v>
      </c>
      <c r="H1236" s="24">
        <v>0.02</v>
      </c>
      <c r="I1236" s="25" t="s">
        <v>325</v>
      </c>
      <c r="J1236" s="32" t="s">
        <v>7</v>
      </c>
      <c r="K1236" s="24" t="s">
        <v>9</v>
      </c>
      <c r="L1236" s="9">
        <f t="shared" si="109"/>
        <v>675</v>
      </c>
      <c r="M1236" s="4" t="str">
        <f>IF(Table3[[#This Row],[Afrondingsdatum YB]]="N/A","-",Table3[[#This Row],[Afrondingsdatum YB]]-Table3[[#This Row],[StartDatum]])</f>
        <v>-</v>
      </c>
      <c r="N1236" s="4"/>
      <c r="O1236">
        <f t="shared" si="106"/>
        <v>97</v>
      </c>
      <c r="P1236">
        <f t="shared" si="110"/>
        <v>104</v>
      </c>
      <c r="Q1236">
        <f t="shared" si="110"/>
        <v>109</v>
      </c>
      <c r="R1236">
        <f t="shared" si="110"/>
        <v>97</v>
      </c>
      <c r="S1236">
        <f t="shared" si="110"/>
        <v>100</v>
      </c>
      <c r="T1236">
        <f t="shared" si="110"/>
        <v>46</v>
      </c>
      <c r="U1236">
        <f t="shared" si="110"/>
        <v>122</v>
      </c>
      <c r="V1236">
        <f t="shared" si="110"/>
        <v>97</v>
      </c>
      <c r="W1236" s="5">
        <f t="shared" si="107"/>
        <v>865</v>
      </c>
      <c r="X1236" s="9" t="str">
        <f t="shared" si="108"/>
        <v>h865</v>
      </c>
    </row>
    <row r="1237" spans="1:24" x14ac:dyDescent="0.2">
      <c r="A1237" s="9" t="s">
        <v>425</v>
      </c>
      <c r="B1237" s="9">
        <v>3</v>
      </c>
      <c r="C1237" s="25">
        <v>10</v>
      </c>
      <c r="D1237" s="25"/>
      <c r="E1237" s="23">
        <v>45397</v>
      </c>
      <c r="F1237" s="23" t="s">
        <v>283</v>
      </c>
      <c r="G1237" s="25" t="s">
        <v>284</v>
      </c>
      <c r="H1237" s="24">
        <v>1</v>
      </c>
      <c r="I1237" s="25" t="s">
        <v>208</v>
      </c>
      <c r="J1237" s="32">
        <v>45354</v>
      </c>
      <c r="K1237" s="24">
        <v>0.8</v>
      </c>
      <c r="L1237" s="9">
        <f t="shared" si="109"/>
        <v>656</v>
      </c>
      <c r="M1237" s="4">
        <f>IF(Table3[[#This Row],[Afrondingsdatum YB]]="N/A","-",Table3[[#This Row],[Afrondingsdatum YB]]-Table3[[#This Row],[StartDatum]])</f>
        <v>45354</v>
      </c>
      <c r="N1237" s="4"/>
      <c r="O1237">
        <f t="shared" si="106"/>
        <v>65</v>
      </c>
      <c r="P1237">
        <f t="shared" si="110"/>
        <v>104</v>
      </c>
      <c r="Q1237">
        <f t="shared" si="110"/>
        <v>109</v>
      </c>
      <c r="R1237">
        <f t="shared" si="110"/>
        <v>101</v>
      </c>
      <c r="S1237">
        <f t="shared" si="110"/>
        <v>116</v>
      </c>
      <c r="T1237">
        <f t="shared" si="110"/>
        <v>46</v>
      </c>
      <c r="U1237">
        <f t="shared" si="110"/>
        <v>115</v>
      </c>
      <c r="V1237">
        <f t="shared" si="110"/>
        <v>101</v>
      </c>
      <c r="W1237" s="5">
        <f t="shared" si="107"/>
        <v>847</v>
      </c>
      <c r="X1237" s="9" t="str">
        <f t="shared" si="108"/>
        <v>h847</v>
      </c>
    </row>
    <row r="1238" spans="1:24" x14ac:dyDescent="0.2">
      <c r="A1238" s="9" t="s">
        <v>425</v>
      </c>
      <c r="B1238" s="9">
        <v>3</v>
      </c>
      <c r="C1238" s="25">
        <v>10</v>
      </c>
      <c r="D1238" s="25"/>
      <c r="E1238" s="23">
        <v>45397</v>
      </c>
      <c r="F1238" s="23" t="s">
        <v>283</v>
      </c>
      <c r="G1238" s="25" t="s">
        <v>285</v>
      </c>
      <c r="H1238" s="24">
        <v>1</v>
      </c>
      <c r="I1238" s="25" t="s">
        <v>139</v>
      </c>
      <c r="J1238" s="32">
        <v>45380</v>
      </c>
      <c r="K1238" s="24">
        <v>0.78</v>
      </c>
      <c r="L1238" s="9">
        <f t="shared" si="109"/>
        <v>747</v>
      </c>
      <c r="M1238" s="4">
        <f>IF(Table3[[#This Row],[Afrondingsdatum YB]]="N/A","-",Table3[[#This Row],[Afrondingsdatum YB]]-Table3[[#This Row],[StartDatum]])</f>
        <v>45380</v>
      </c>
      <c r="N1238" s="4"/>
      <c r="O1238">
        <f t="shared" si="106"/>
        <v>97</v>
      </c>
      <c r="P1238">
        <f t="shared" si="110"/>
        <v>110</v>
      </c>
      <c r="Q1238">
        <f t="shared" si="110"/>
        <v>97</v>
      </c>
      <c r="R1238">
        <f t="shared" si="110"/>
        <v>115</v>
      </c>
      <c r="S1238">
        <f t="shared" si="110"/>
        <v>116</v>
      </c>
      <c r="T1238">
        <f t="shared" si="110"/>
        <v>97</v>
      </c>
      <c r="U1238">
        <f t="shared" si="110"/>
        <v>115</v>
      </c>
      <c r="V1238">
        <f t="shared" si="110"/>
        <v>105</v>
      </c>
      <c r="W1238" s="5">
        <f t="shared" si="107"/>
        <v>905</v>
      </c>
      <c r="X1238" s="9" t="str">
        <f t="shared" si="108"/>
        <v>n905</v>
      </c>
    </row>
    <row r="1239" spans="1:24" x14ac:dyDescent="0.2">
      <c r="A1239" s="9" t="s">
        <v>425</v>
      </c>
      <c r="B1239" s="9">
        <v>3</v>
      </c>
      <c r="C1239" s="25">
        <v>10</v>
      </c>
      <c r="D1239" s="25"/>
      <c r="E1239" s="23">
        <v>45397</v>
      </c>
      <c r="F1239" s="23" t="s">
        <v>283</v>
      </c>
      <c r="G1239" s="25" t="s">
        <v>333</v>
      </c>
      <c r="H1239" s="24">
        <v>1</v>
      </c>
      <c r="I1239" s="25" t="s">
        <v>342</v>
      </c>
      <c r="J1239" s="32">
        <v>45382</v>
      </c>
      <c r="K1239" s="24">
        <v>0.85</v>
      </c>
      <c r="L1239" s="9">
        <f t="shared" si="109"/>
        <v>675</v>
      </c>
      <c r="M1239" s="4">
        <f>IF(Table3[[#This Row],[Afrondingsdatum YB]]="N/A","-",Table3[[#This Row],[Afrondingsdatum YB]]-Table3[[#This Row],[StartDatum]])</f>
        <v>45382</v>
      </c>
      <c r="N1239" s="4"/>
      <c r="O1239">
        <f t="shared" si="106"/>
        <v>97</v>
      </c>
      <c r="P1239">
        <f t="shared" si="110"/>
        <v>115</v>
      </c>
      <c r="Q1239">
        <f t="shared" si="110"/>
        <v>104</v>
      </c>
      <c r="R1239">
        <f t="shared" si="110"/>
        <v>114</v>
      </c>
      <c r="S1239">
        <f t="shared" si="110"/>
        <v>97</v>
      </c>
      <c r="T1239">
        <f t="shared" si="110"/>
        <v>102</v>
      </c>
      <c r="U1239">
        <f t="shared" si="110"/>
        <v>46</v>
      </c>
      <c r="V1239">
        <f t="shared" si="110"/>
        <v>104</v>
      </c>
      <c r="W1239" s="5">
        <f t="shared" si="107"/>
        <v>844</v>
      </c>
      <c r="X1239" s="9" t="str">
        <f t="shared" si="108"/>
        <v>s844</v>
      </c>
    </row>
    <row r="1240" spans="1:24" x14ac:dyDescent="0.2">
      <c r="A1240" s="9" t="s">
        <v>425</v>
      </c>
      <c r="B1240" s="9">
        <v>3</v>
      </c>
      <c r="C1240" s="25">
        <v>10</v>
      </c>
      <c r="D1240" s="25"/>
      <c r="E1240" s="23">
        <v>45397</v>
      </c>
      <c r="F1240" s="23" t="s">
        <v>283</v>
      </c>
      <c r="G1240" s="25" t="s">
        <v>286</v>
      </c>
      <c r="H1240" s="24">
        <v>1</v>
      </c>
      <c r="I1240" s="25" t="s">
        <v>238</v>
      </c>
      <c r="J1240" s="32">
        <v>45352</v>
      </c>
      <c r="K1240" s="24">
        <v>0.85</v>
      </c>
      <c r="L1240" s="9">
        <f t="shared" si="109"/>
        <v>645</v>
      </c>
      <c r="M1240" s="4">
        <f>IF(Table3[[#This Row],[Afrondingsdatum YB]]="N/A","-",Table3[[#This Row],[Afrondingsdatum YB]]-Table3[[#This Row],[StartDatum]])</f>
        <v>45352</v>
      </c>
      <c r="N1240" s="4"/>
      <c r="O1240">
        <f t="shared" si="106"/>
        <v>66</v>
      </c>
      <c r="P1240">
        <f t="shared" si="110"/>
        <v>97</v>
      </c>
      <c r="Q1240">
        <f t="shared" si="110"/>
        <v>115</v>
      </c>
      <c r="R1240">
        <f t="shared" si="110"/>
        <v>46</v>
      </c>
      <c r="S1240">
        <f t="shared" si="110"/>
        <v>107</v>
      </c>
      <c r="T1240">
        <f t="shared" si="110"/>
        <v>105</v>
      </c>
      <c r="U1240">
        <f t="shared" si="110"/>
        <v>109</v>
      </c>
      <c r="V1240">
        <f t="shared" si="110"/>
        <v>109</v>
      </c>
      <c r="W1240" s="5">
        <f t="shared" si="107"/>
        <v>901</v>
      </c>
      <c r="X1240" s="9" t="str">
        <f t="shared" si="108"/>
        <v>a901</v>
      </c>
    </row>
    <row r="1241" spans="1:24" x14ac:dyDescent="0.2">
      <c r="A1241" s="9" t="s">
        <v>425</v>
      </c>
      <c r="B1241" s="9">
        <v>3</v>
      </c>
      <c r="C1241" s="25">
        <v>10</v>
      </c>
      <c r="D1241" s="25"/>
      <c r="E1241" s="23">
        <v>45397</v>
      </c>
      <c r="F1241" s="23" t="s">
        <v>283</v>
      </c>
      <c r="G1241" s="25" t="s">
        <v>353</v>
      </c>
      <c r="H1241" s="24">
        <v>0.99</v>
      </c>
      <c r="I1241" s="25" t="s">
        <v>354</v>
      </c>
      <c r="J1241" s="32" t="s">
        <v>7</v>
      </c>
      <c r="K1241" s="24" t="s">
        <v>9</v>
      </c>
      <c r="L1241" s="9">
        <f t="shared" si="109"/>
        <v>690</v>
      </c>
      <c r="M1241" s="4" t="str">
        <f>IF(Table3[[#This Row],[Afrondingsdatum YB]]="N/A","-",Table3[[#This Row],[Afrondingsdatum YB]]-Table3[[#This Row],[StartDatum]])</f>
        <v>-</v>
      </c>
      <c r="N1241" s="4"/>
      <c r="O1241">
        <f t="shared" si="106"/>
        <v>100</v>
      </c>
      <c r="P1241">
        <f t="shared" si="110"/>
        <v>97</v>
      </c>
      <c r="Q1241">
        <f t="shared" si="110"/>
        <v>109</v>
      </c>
      <c r="R1241">
        <f t="shared" si="110"/>
        <v>121</v>
      </c>
      <c r="S1241">
        <f t="shared" si="110"/>
        <v>46</v>
      </c>
      <c r="T1241">
        <f t="shared" si="110"/>
        <v>107</v>
      </c>
      <c r="U1241">
        <f t="shared" si="110"/>
        <v>110</v>
      </c>
      <c r="V1241">
        <f t="shared" si="110"/>
        <v>101</v>
      </c>
      <c r="W1241" s="5">
        <f t="shared" si="107"/>
        <v>870</v>
      </c>
      <c r="X1241" s="9" t="str">
        <f t="shared" si="108"/>
        <v>a870</v>
      </c>
    </row>
    <row r="1242" spans="1:24" x14ac:dyDescent="0.2">
      <c r="A1242" s="9" t="s">
        <v>425</v>
      </c>
      <c r="B1242" s="9">
        <v>3</v>
      </c>
      <c r="C1242" s="25">
        <v>10</v>
      </c>
      <c r="D1242" s="25"/>
      <c r="E1242" s="23">
        <v>45397</v>
      </c>
      <c r="F1242" s="23" t="s">
        <v>280</v>
      </c>
      <c r="G1242" s="25" t="s">
        <v>287</v>
      </c>
      <c r="H1242" s="24">
        <v>1</v>
      </c>
      <c r="I1242" s="25" t="s">
        <v>335</v>
      </c>
      <c r="J1242" s="32">
        <v>45383</v>
      </c>
      <c r="K1242" s="24">
        <v>0.9</v>
      </c>
      <c r="L1242" s="9">
        <f t="shared" si="109"/>
        <v>666</v>
      </c>
      <c r="M1242" s="4">
        <f>IF(Table3[[#This Row],[Afrondingsdatum YB]]="N/A","-",Table3[[#This Row],[Afrondingsdatum YB]]-Table3[[#This Row],[StartDatum]])</f>
        <v>45383</v>
      </c>
      <c r="N1242" s="4"/>
      <c r="O1242">
        <f t="shared" si="106"/>
        <v>100</v>
      </c>
      <c r="P1242">
        <f t="shared" si="110"/>
        <v>106</v>
      </c>
      <c r="Q1242">
        <f t="shared" si="110"/>
        <v>97</v>
      </c>
      <c r="R1242">
        <f t="shared" si="110"/>
        <v>98</v>
      </c>
      <c r="S1242">
        <f t="shared" si="110"/>
        <v>105</v>
      </c>
      <c r="T1242">
        <f t="shared" si="110"/>
        <v>114</v>
      </c>
      <c r="U1242">
        <f t="shared" si="110"/>
        <v>46</v>
      </c>
      <c r="V1242">
        <f t="shared" si="110"/>
        <v>104</v>
      </c>
      <c r="W1242" s="5">
        <f t="shared" si="107"/>
        <v>838</v>
      </c>
      <c r="X1242" s="9" t="str">
        <f t="shared" si="108"/>
        <v>j838</v>
      </c>
    </row>
    <row r="1243" spans="1:24" x14ac:dyDescent="0.2">
      <c r="A1243" s="9" t="s">
        <v>425</v>
      </c>
      <c r="B1243" s="9">
        <v>3</v>
      </c>
      <c r="C1243" s="25">
        <v>10</v>
      </c>
      <c r="D1243" s="25"/>
      <c r="E1243" s="23">
        <v>45397</v>
      </c>
      <c r="F1243" s="23" t="s">
        <v>283</v>
      </c>
      <c r="G1243" s="25" t="s">
        <v>343</v>
      </c>
      <c r="H1243" s="24">
        <v>1</v>
      </c>
      <c r="I1243" s="25" t="s">
        <v>350</v>
      </c>
      <c r="J1243" s="32">
        <v>45390</v>
      </c>
      <c r="K1243" s="24">
        <v>0.8</v>
      </c>
      <c r="L1243" s="9">
        <f t="shared" si="109"/>
        <v>639</v>
      </c>
      <c r="M1243" s="4">
        <f>IF(Table3[[#This Row],[Afrondingsdatum YB]]="N/A","-",Table3[[#This Row],[Afrondingsdatum YB]]-Table3[[#This Row],[StartDatum]])</f>
        <v>45390</v>
      </c>
      <c r="N1243" s="4"/>
      <c r="O1243">
        <f t="shared" si="106"/>
        <v>70</v>
      </c>
      <c r="P1243">
        <f t="shared" si="110"/>
        <v>97</v>
      </c>
      <c r="Q1243">
        <f t="shared" si="110"/>
        <v>116</v>
      </c>
      <c r="R1243">
        <f t="shared" si="110"/>
        <v>105</v>
      </c>
      <c r="S1243">
        <f t="shared" si="110"/>
        <v>109</v>
      </c>
      <c r="T1243">
        <f t="shared" si="110"/>
        <v>97</v>
      </c>
      <c r="U1243">
        <f t="shared" si="110"/>
        <v>45</v>
      </c>
      <c r="V1243">
        <f t="shared" si="110"/>
        <v>101</v>
      </c>
      <c r="W1243" s="5">
        <f t="shared" si="107"/>
        <v>845</v>
      </c>
      <c r="X1243" s="9" t="str">
        <f t="shared" si="108"/>
        <v>a845</v>
      </c>
    </row>
    <row r="1244" spans="1:24" x14ac:dyDescent="0.2">
      <c r="A1244" s="9" t="s">
        <v>425</v>
      </c>
      <c r="B1244" s="9">
        <v>3</v>
      </c>
      <c r="C1244" s="25">
        <v>10</v>
      </c>
      <c r="D1244" s="25"/>
      <c r="E1244" s="23">
        <v>45397</v>
      </c>
      <c r="F1244" s="23" t="s">
        <v>280</v>
      </c>
      <c r="G1244" s="25" t="s">
        <v>288</v>
      </c>
      <c r="H1244" s="24">
        <v>1</v>
      </c>
      <c r="I1244" s="25" t="s">
        <v>330</v>
      </c>
      <c r="J1244" s="32">
        <v>45373</v>
      </c>
      <c r="K1244" s="24">
        <v>0.8</v>
      </c>
      <c r="L1244" s="9">
        <f t="shared" si="109"/>
        <v>682</v>
      </c>
      <c r="M1244" s="4">
        <f>IF(Table3[[#This Row],[Afrondingsdatum YB]]="N/A","-",Table3[[#This Row],[Afrondingsdatum YB]]-Table3[[#This Row],[StartDatum]])</f>
        <v>45373</v>
      </c>
      <c r="N1244" s="4"/>
      <c r="O1244">
        <f t="shared" si="106"/>
        <v>103</v>
      </c>
      <c r="P1244">
        <f t="shared" si="110"/>
        <v>108</v>
      </c>
      <c r="Q1244">
        <f t="shared" si="110"/>
        <v>101</v>
      </c>
      <c r="R1244">
        <f t="shared" si="110"/>
        <v>110</v>
      </c>
      <c r="S1244">
        <f t="shared" si="110"/>
        <v>110</v>
      </c>
      <c r="T1244">
        <f t="shared" si="110"/>
        <v>46</v>
      </c>
      <c r="U1244">
        <f t="shared" si="110"/>
        <v>104</v>
      </c>
      <c r="V1244">
        <f t="shared" si="110"/>
        <v>101</v>
      </c>
      <c r="W1244" s="5">
        <f t="shared" si="107"/>
        <v>849</v>
      </c>
      <c r="X1244" s="9" t="str">
        <f t="shared" si="108"/>
        <v>l849</v>
      </c>
    </row>
    <row r="1245" spans="1:24" x14ac:dyDescent="0.2">
      <c r="A1245" s="9" t="s">
        <v>425</v>
      </c>
      <c r="B1245" s="9">
        <v>3</v>
      </c>
      <c r="C1245" s="25">
        <v>10</v>
      </c>
      <c r="D1245" s="25"/>
      <c r="E1245" s="23">
        <v>45397</v>
      </c>
      <c r="F1245" s="23" t="s">
        <v>283</v>
      </c>
      <c r="G1245" s="25" t="s">
        <v>289</v>
      </c>
      <c r="H1245" s="24">
        <v>1</v>
      </c>
      <c r="I1245" s="25" t="s">
        <v>342</v>
      </c>
      <c r="J1245" s="32">
        <v>45389</v>
      </c>
      <c r="K1245" s="24">
        <v>0.83</v>
      </c>
      <c r="L1245" s="9">
        <f t="shared" si="109"/>
        <v>675</v>
      </c>
      <c r="M1245" s="4">
        <f>IF(Table3[[#This Row],[Afrondingsdatum YB]]="N/A","-",Table3[[#This Row],[Afrondingsdatum YB]]-Table3[[#This Row],[StartDatum]])</f>
        <v>45389</v>
      </c>
      <c r="N1245" s="4"/>
      <c r="O1245">
        <f t="shared" si="106"/>
        <v>103</v>
      </c>
      <c r="P1245">
        <f t="shared" si="110"/>
        <v>114</v>
      </c>
      <c r="Q1245">
        <f t="shared" si="110"/>
        <v>97</v>
      </c>
      <c r="R1245">
        <f t="shared" si="110"/>
        <v>99</v>
      </c>
      <c r="S1245">
        <f t="shared" si="110"/>
        <v>101</v>
      </c>
      <c r="T1245">
        <f t="shared" si="110"/>
        <v>46</v>
      </c>
      <c r="U1245">
        <f t="shared" si="110"/>
        <v>115</v>
      </c>
      <c r="V1245">
        <f t="shared" si="110"/>
        <v>101</v>
      </c>
      <c r="W1245" s="5">
        <f t="shared" si="107"/>
        <v>839</v>
      </c>
      <c r="X1245" s="9" t="str">
        <f t="shared" si="108"/>
        <v>r839</v>
      </c>
    </row>
    <row r="1246" spans="1:24" x14ac:dyDescent="0.2">
      <c r="A1246" s="9" t="s">
        <v>425</v>
      </c>
      <c r="B1246" s="9">
        <v>3</v>
      </c>
      <c r="C1246" s="25">
        <v>10</v>
      </c>
      <c r="D1246" s="25"/>
      <c r="E1246" s="23">
        <v>45397</v>
      </c>
      <c r="F1246" s="23" t="s">
        <v>283</v>
      </c>
      <c r="G1246" s="25" t="s">
        <v>290</v>
      </c>
      <c r="H1246" s="24">
        <v>1</v>
      </c>
      <c r="I1246" s="25" t="s">
        <v>214</v>
      </c>
      <c r="J1246" s="32">
        <v>45358</v>
      </c>
      <c r="K1246" s="24">
        <v>0.78</v>
      </c>
      <c r="L1246" s="9">
        <f t="shared" si="109"/>
        <v>677</v>
      </c>
      <c r="M1246" s="4">
        <f>IF(Table3[[#This Row],[Afrondingsdatum YB]]="N/A","-",Table3[[#This Row],[Afrondingsdatum YB]]-Table3[[#This Row],[StartDatum]])</f>
        <v>45358</v>
      </c>
      <c r="N1246" s="4"/>
      <c r="O1246">
        <f t="shared" si="106"/>
        <v>105</v>
      </c>
      <c r="P1246">
        <f t="shared" si="110"/>
        <v>108</v>
      </c>
      <c r="Q1246">
        <f t="shared" si="110"/>
        <v>105</v>
      </c>
      <c r="R1246">
        <f t="shared" si="110"/>
        <v>97</v>
      </c>
      <c r="S1246">
        <f t="shared" si="110"/>
        <v>115</v>
      </c>
      <c r="T1246">
        <f t="shared" si="110"/>
        <v>46</v>
      </c>
      <c r="U1246">
        <f t="shared" si="110"/>
        <v>101</v>
      </c>
      <c r="V1246">
        <f t="shared" si="110"/>
        <v>108</v>
      </c>
      <c r="W1246" s="5">
        <f t="shared" si="107"/>
        <v>868</v>
      </c>
      <c r="X1246" s="9" t="str">
        <f t="shared" si="108"/>
        <v>l868</v>
      </c>
    </row>
    <row r="1247" spans="1:24" x14ac:dyDescent="0.2">
      <c r="A1247" s="9" t="s">
        <v>425</v>
      </c>
      <c r="B1247" s="9">
        <v>3</v>
      </c>
      <c r="C1247" s="25">
        <v>10</v>
      </c>
      <c r="D1247" s="25"/>
      <c r="E1247" s="23">
        <v>45397</v>
      </c>
      <c r="F1247" s="23" t="s">
        <v>283</v>
      </c>
      <c r="G1247" s="25" t="s">
        <v>291</v>
      </c>
      <c r="H1247" s="24">
        <v>1</v>
      </c>
      <c r="I1247" s="25" t="s">
        <v>184</v>
      </c>
      <c r="J1247" s="32">
        <v>45389</v>
      </c>
      <c r="K1247" s="24">
        <v>0.83</v>
      </c>
      <c r="L1247" s="9">
        <f t="shared" si="109"/>
        <v>638</v>
      </c>
      <c r="M1247" s="4">
        <f>IF(Table3[[#This Row],[Afrondingsdatum YB]]="N/A","-",Table3[[#This Row],[Afrondingsdatum YB]]-Table3[[#This Row],[StartDatum]])</f>
        <v>45389</v>
      </c>
      <c r="N1247" s="4"/>
      <c r="O1247">
        <f t="shared" si="106"/>
        <v>73</v>
      </c>
      <c r="P1247">
        <f t="shared" si="110"/>
        <v>115</v>
      </c>
      <c r="Q1247">
        <f t="shared" si="110"/>
        <v>97</v>
      </c>
      <c r="R1247">
        <f t="shared" si="110"/>
        <v>98</v>
      </c>
      <c r="S1247">
        <f t="shared" si="110"/>
        <v>101</v>
      </c>
      <c r="T1247">
        <f t="shared" si="110"/>
        <v>108</v>
      </c>
      <c r="U1247">
        <f t="shared" si="110"/>
        <v>46</v>
      </c>
      <c r="V1247">
        <f t="shared" si="110"/>
        <v>109</v>
      </c>
      <c r="W1247" s="5">
        <f t="shared" si="107"/>
        <v>810</v>
      </c>
      <c r="X1247" s="9" t="str">
        <f t="shared" si="108"/>
        <v>s810</v>
      </c>
    </row>
    <row r="1248" spans="1:24" x14ac:dyDescent="0.2">
      <c r="A1248" s="9" t="s">
        <v>425</v>
      </c>
      <c r="B1248" s="9">
        <v>3</v>
      </c>
      <c r="C1248" s="25">
        <v>10</v>
      </c>
      <c r="D1248" s="25"/>
      <c r="E1248" s="23">
        <v>45397</v>
      </c>
      <c r="F1248" s="23" t="s">
        <v>280</v>
      </c>
      <c r="G1248" s="25" t="s">
        <v>292</v>
      </c>
      <c r="H1248" s="24">
        <v>0.98</v>
      </c>
      <c r="I1248" s="25" t="s">
        <v>264</v>
      </c>
      <c r="J1248" s="32" t="s">
        <v>7</v>
      </c>
      <c r="K1248" s="24" t="s">
        <v>9</v>
      </c>
      <c r="L1248" s="9">
        <f t="shared" si="109"/>
        <v>673</v>
      </c>
      <c r="M1248" s="4" t="str">
        <f>IF(Table3[[#This Row],[Afrondingsdatum YB]]="N/A","-",Table3[[#This Row],[Afrondingsdatum YB]]-Table3[[#This Row],[StartDatum]])</f>
        <v>-</v>
      </c>
      <c r="N1248" s="4"/>
      <c r="O1248">
        <f t="shared" si="106"/>
        <v>106</v>
      </c>
      <c r="P1248">
        <f t="shared" si="110"/>
        <v>97</v>
      </c>
      <c r="Q1248">
        <f t="shared" si="110"/>
        <v>105</v>
      </c>
      <c r="R1248">
        <f t="shared" si="110"/>
        <v>114</v>
      </c>
      <c r="S1248">
        <f t="shared" si="110"/>
        <v>46</v>
      </c>
      <c r="T1248">
        <f t="shared" si="110"/>
        <v>104</v>
      </c>
      <c r="U1248">
        <f t="shared" si="110"/>
        <v>101</v>
      </c>
      <c r="V1248">
        <f t="shared" si="110"/>
        <v>107</v>
      </c>
      <c r="W1248" s="5">
        <f t="shared" si="107"/>
        <v>856</v>
      </c>
      <c r="X1248" s="9" t="str">
        <f t="shared" si="108"/>
        <v>a856</v>
      </c>
    </row>
    <row r="1249" spans="1:24" x14ac:dyDescent="0.2">
      <c r="A1249" s="9" t="s">
        <v>425</v>
      </c>
      <c r="B1249" s="9">
        <v>3</v>
      </c>
      <c r="C1249" s="25">
        <v>10</v>
      </c>
      <c r="D1249" s="25"/>
      <c r="E1249" s="23">
        <v>45397</v>
      </c>
      <c r="F1249" s="23" t="s">
        <v>283</v>
      </c>
      <c r="G1249" s="25" t="s">
        <v>293</v>
      </c>
      <c r="H1249" s="24">
        <v>1</v>
      </c>
      <c r="I1249" s="25" t="s">
        <v>314</v>
      </c>
      <c r="J1249" s="32">
        <v>45382</v>
      </c>
      <c r="K1249" s="24">
        <v>0.85</v>
      </c>
      <c r="L1249" s="9">
        <f t="shared" si="109"/>
        <v>692</v>
      </c>
      <c r="M1249" s="4">
        <f>IF(Table3[[#This Row],[Afrondingsdatum YB]]="N/A","-",Table3[[#This Row],[Afrondingsdatum YB]]-Table3[[#This Row],[StartDatum]])</f>
        <v>45382</v>
      </c>
      <c r="N1249" s="4"/>
      <c r="O1249">
        <f t="shared" si="106"/>
        <v>106</v>
      </c>
      <c r="P1249">
        <f t="shared" si="110"/>
        <v>101</v>
      </c>
      <c r="Q1249">
        <f t="shared" si="110"/>
        <v>115</v>
      </c>
      <c r="R1249">
        <f t="shared" si="110"/>
        <v>115</v>
      </c>
      <c r="S1249">
        <f t="shared" si="110"/>
        <v>101</v>
      </c>
      <c r="T1249">
        <f t="shared" si="110"/>
        <v>46</v>
      </c>
      <c r="U1249">
        <f t="shared" si="110"/>
        <v>108</v>
      </c>
      <c r="V1249">
        <f t="shared" si="110"/>
        <v>101</v>
      </c>
      <c r="W1249" s="5">
        <f t="shared" si="107"/>
        <v>886</v>
      </c>
      <c r="X1249" s="9" t="str">
        <f t="shared" si="108"/>
        <v>e886</v>
      </c>
    </row>
    <row r="1250" spans="1:24" x14ac:dyDescent="0.2">
      <c r="A1250" s="9" t="s">
        <v>425</v>
      </c>
      <c r="B1250" s="9">
        <v>3</v>
      </c>
      <c r="C1250" s="25">
        <v>10</v>
      </c>
      <c r="D1250" s="25"/>
      <c r="E1250" s="23">
        <v>45397</v>
      </c>
      <c r="F1250" s="23" t="s">
        <v>283</v>
      </c>
      <c r="G1250" s="25" t="s">
        <v>294</v>
      </c>
      <c r="H1250" s="24">
        <v>0.13</v>
      </c>
      <c r="I1250" s="25" t="s">
        <v>107</v>
      </c>
      <c r="J1250" s="32" t="s">
        <v>7</v>
      </c>
      <c r="K1250" s="24" t="s">
        <v>9</v>
      </c>
      <c r="L1250" s="9">
        <f t="shared" si="109"/>
        <v>681</v>
      </c>
      <c r="M1250" s="4" t="str">
        <f>IF(Table3[[#This Row],[Afrondingsdatum YB]]="N/A","-",Table3[[#This Row],[Afrondingsdatum YB]]-Table3[[#This Row],[StartDatum]])</f>
        <v>-</v>
      </c>
      <c r="N1250" s="4"/>
      <c r="O1250">
        <f t="shared" si="106"/>
        <v>106</v>
      </c>
      <c r="P1250">
        <f t="shared" si="110"/>
        <v>111</v>
      </c>
      <c r="Q1250">
        <f t="shared" si="110"/>
        <v>114</v>
      </c>
      <c r="R1250">
        <f t="shared" si="110"/>
        <v>100</v>
      </c>
      <c r="S1250">
        <f t="shared" si="110"/>
        <v>46</v>
      </c>
      <c r="T1250">
        <f t="shared" si="110"/>
        <v>107</v>
      </c>
      <c r="U1250">
        <f t="shared" si="110"/>
        <v>97</v>
      </c>
      <c r="V1250">
        <f t="shared" si="110"/>
        <v>114</v>
      </c>
      <c r="W1250" s="5">
        <f t="shared" si="107"/>
        <v>893</v>
      </c>
      <c r="X1250" s="9" t="str">
        <f t="shared" si="108"/>
        <v>o893</v>
      </c>
    </row>
    <row r="1251" spans="1:24" x14ac:dyDescent="0.2">
      <c r="A1251" s="9" t="s">
        <v>425</v>
      </c>
      <c r="B1251" s="9">
        <v>3</v>
      </c>
      <c r="C1251" s="25">
        <v>10</v>
      </c>
      <c r="D1251" s="25"/>
      <c r="E1251" s="23">
        <v>45397</v>
      </c>
      <c r="F1251" s="23" t="s">
        <v>280</v>
      </c>
      <c r="G1251" s="25" t="s">
        <v>295</v>
      </c>
      <c r="H1251" s="24">
        <v>1</v>
      </c>
      <c r="I1251" s="25" t="s">
        <v>342</v>
      </c>
      <c r="J1251" s="32">
        <v>45378</v>
      </c>
      <c r="K1251" s="24">
        <v>0.75</v>
      </c>
      <c r="L1251" s="9">
        <f t="shared" si="109"/>
        <v>691</v>
      </c>
      <c r="M1251" s="4">
        <f>IF(Table3[[#This Row],[Afrondingsdatum YB]]="N/A","-",Table3[[#This Row],[Afrondingsdatum YB]]-Table3[[#This Row],[StartDatum]])</f>
        <v>45378</v>
      </c>
      <c r="N1251" s="4"/>
      <c r="O1251">
        <f t="shared" ref="O1251:V1289" si="111">CODE(MID($G1251,O$1,1))</f>
        <v>106</v>
      </c>
      <c r="P1251">
        <f t="shared" si="110"/>
        <v>111</v>
      </c>
      <c r="Q1251">
        <f t="shared" si="110"/>
        <v>121</v>
      </c>
      <c r="R1251">
        <f t="shared" si="110"/>
        <v>99</v>
      </c>
      <c r="S1251">
        <f t="shared" si="110"/>
        <v>101</v>
      </c>
      <c r="T1251">
        <f t="shared" si="110"/>
        <v>46</v>
      </c>
      <c r="U1251">
        <f t="shared" si="110"/>
        <v>107</v>
      </c>
      <c r="V1251">
        <f t="shared" si="110"/>
        <v>111</v>
      </c>
      <c r="W1251" s="5">
        <f t="shared" si="107"/>
        <v>914</v>
      </c>
      <c r="X1251" s="9" t="str">
        <f t="shared" si="108"/>
        <v>o914</v>
      </c>
    </row>
    <row r="1252" spans="1:24" x14ac:dyDescent="0.2">
      <c r="A1252" s="9" t="s">
        <v>425</v>
      </c>
      <c r="B1252" s="9">
        <v>3</v>
      </c>
      <c r="C1252" s="25">
        <v>10</v>
      </c>
      <c r="D1252" s="25"/>
      <c r="E1252" s="23">
        <v>45397</v>
      </c>
      <c r="F1252" s="23" t="s">
        <v>283</v>
      </c>
      <c r="G1252" s="25" t="s">
        <v>296</v>
      </c>
      <c r="H1252" s="24">
        <v>1</v>
      </c>
      <c r="I1252" s="25" t="s">
        <v>143</v>
      </c>
      <c r="J1252" s="32">
        <v>45391</v>
      </c>
      <c r="K1252" s="24">
        <v>0.78</v>
      </c>
      <c r="L1252" s="9">
        <f t="shared" si="109"/>
        <v>689</v>
      </c>
      <c r="M1252" s="4">
        <f>IF(Table3[[#This Row],[Afrondingsdatum YB]]="N/A","-",Table3[[#This Row],[Afrondingsdatum YB]]-Table3[[#This Row],[StartDatum]])</f>
        <v>45391</v>
      </c>
      <c r="N1252" s="4"/>
      <c r="O1252">
        <f t="shared" si="111"/>
        <v>106</v>
      </c>
      <c r="P1252">
        <f t="shared" si="110"/>
        <v>117</v>
      </c>
      <c r="Q1252">
        <f t="shared" si="110"/>
        <v>108</v>
      </c>
      <c r="R1252">
        <f t="shared" si="110"/>
        <v>105</v>
      </c>
      <c r="S1252">
        <f t="shared" si="110"/>
        <v>97</v>
      </c>
      <c r="T1252">
        <f t="shared" si="110"/>
        <v>110</v>
      </c>
      <c r="U1252">
        <f t="shared" si="110"/>
        <v>46</v>
      </c>
      <c r="V1252">
        <f t="shared" si="110"/>
        <v>109</v>
      </c>
      <c r="W1252" s="5">
        <f t="shared" si="107"/>
        <v>877</v>
      </c>
      <c r="X1252" s="9" t="str">
        <f t="shared" si="108"/>
        <v>u877</v>
      </c>
    </row>
    <row r="1253" spans="1:24" x14ac:dyDescent="0.2">
      <c r="A1253" s="9" t="s">
        <v>425</v>
      </c>
      <c r="B1253" s="9">
        <v>3</v>
      </c>
      <c r="C1253" s="25">
        <v>10</v>
      </c>
      <c r="D1253" s="25"/>
      <c r="E1253" s="23">
        <v>45397</v>
      </c>
      <c r="F1253" s="23" t="s">
        <v>283</v>
      </c>
      <c r="G1253" s="25" t="s">
        <v>297</v>
      </c>
      <c r="H1253" s="24">
        <v>1</v>
      </c>
      <c r="I1253" s="25" t="s">
        <v>77</v>
      </c>
      <c r="J1253" s="32">
        <v>45396</v>
      </c>
      <c r="K1253" s="24">
        <v>0.83</v>
      </c>
      <c r="L1253" s="9">
        <f t="shared" si="109"/>
        <v>698</v>
      </c>
      <c r="M1253" s="4">
        <f>IF(Table3[[#This Row],[Afrondingsdatum YB]]="N/A","-",Table3[[#This Row],[Afrondingsdatum YB]]-Table3[[#This Row],[StartDatum]])</f>
        <v>45396</v>
      </c>
      <c r="N1253" s="4"/>
      <c r="O1253">
        <f t="shared" si="111"/>
        <v>106</v>
      </c>
      <c r="P1253">
        <f t="shared" si="110"/>
        <v>117</v>
      </c>
      <c r="Q1253">
        <f t="shared" si="110"/>
        <v>114</v>
      </c>
      <c r="R1253">
        <f t="shared" si="110"/>
        <v>114</v>
      </c>
      <c r="S1253">
        <f t="shared" si="110"/>
        <v>101</v>
      </c>
      <c r="T1253">
        <f t="shared" si="110"/>
        <v>46</v>
      </c>
      <c r="U1253">
        <f t="shared" si="110"/>
        <v>100</v>
      </c>
      <c r="V1253">
        <f t="shared" si="110"/>
        <v>101</v>
      </c>
      <c r="W1253" s="5">
        <f t="shared" si="107"/>
        <v>883</v>
      </c>
      <c r="X1253" s="9" t="str">
        <f t="shared" si="108"/>
        <v>u883</v>
      </c>
    </row>
    <row r="1254" spans="1:24" x14ac:dyDescent="0.2">
      <c r="A1254" s="9" t="s">
        <v>425</v>
      </c>
      <c r="B1254" s="9">
        <v>3</v>
      </c>
      <c r="C1254" s="25">
        <v>10</v>
      </c>
      <c r="D1254" s="25"/>
      <c r="E1254" s="23">
        <v>45397</v>
      </c>
      <c r="F1254" s="23" t="s">
        <v>280</v>
      </c>
      <c r="G1254" s="25" t="s">
        <v>298</v>
      </c>
      <c r="H1254" s="24">
        <v>0.02</v>
      </c>
      <c r="I1254" s="25" t="s">
        <v>326</v>
      </c>
      <c r="J1254" s="32" t="s">
        <v>7</v>
      </c>
      <c r="K1254" s="24" t="s">
        <v>9</v>
      </c>
      <c r="L1254" s="9">
        <f t="shared" si="109"/>
        <v>685</v>
      </c>
      <c r="M1254" s="4" t="str">
        <f>IF(Table3[[#This Row],[Afrondingsdatum YB]]="N/A","-",Table3[[#This Row],[Afrondingsdatum YB]]-Table3[[#This Row],[StartDatum]])</f>
        <v>-</v>
      </c>
      <c r="N1254" s="4"/>
      <c r="O1254">
        <f t="shared" si="111"/>
        <v>75</v>
      </c>
      <c r="P1254">
        <f t="shared" si="110"/>
        <v>121</v>
      </c>
      <c r="Q1254">
        <f t="shared" si="110"/>
        <v>114</v>
      </c>
      <c r="R1254">
        <f t="shared" si="110"/>
        <v>111</v>
      </c>
      <c r="S1254">
        <f t="shared" si="110"/>
        <v>110</v>
      </c>
      <c r="T1254">
        <f t="shared" si="110"/>
        <v>46</v>
      </c>
      <c r="U1254">
        <f t="shared" si="110"/>
        <v>108</v>
      </c>
      <c r="V1254">
        <f t="shared" si="110"/>
        <v>101</v>
      </c>
      <c r="W1254" s="5">
        <f t="shared" si="107"/>
        <v>870</v>
      </c>
      <c r="X1254" s="9" t="str">
        <f t="shared" si="108"/>
        <v>y870</v>
      </c>
    </row>
    <row r="1255" spans="1:24" x14ac:dyDescent="0.2">
      <c r="A1255" s="9" t="s">
        <v>425</v>
      </c>
      <c r="B1255" s="9">
        <v>3</v>
      </c>
      <c r="C1255" s="25">
        <v>10</v>
      </c>
      <c r="D1255" s="25"/>
      <c r="E1255" s="23">
        <v>45397</v>
      </c>
      <c r="F1255" s="23" t="s">
        <v>280</v>
      </c>
      <c r="G1255" s="25" t="s">
        <v>300</v>
      </c>
      <c r="H1255" s="24">
        <v>0.14000000000000001</v>
      </c>
      <c r="I1255" s="25" t="s">
        <v>184</v>
      </c>
      <c r="J1255" s="32" t="s">
        <v>7</v>
      </c>
      <c r="K1255" s="24" t="s">
        <v>9</v>
      </c>
      <c r="L1255" s="9">
        <f t="shared" si="109"/>
        <v>761</v>
      </c>
      <c r="M1255" s="4" t="str">
        <f>IF(Table3[[#This Row],[Afrondingsdatum YB]]="N/A","-",Table3[[#This Row],[Afrondingsdatum YB]]-Table3[[#This Row],[StartDatum]])</f>
        <v>-</v>
      </c>
      <c r="N1255" s="4"/>
      <c r="O1255">
        <f t="shared" si="111"/>
        <v>108</v>
      </c>
      <c r="P1255">
        <f t="shared" si="110"/>
        <v>117</v>
      </c>
      <c r="Q1255">
        <f t="shared" si="110"/>
        <v>99</v>
      </c>
      <c r="R1255">
        <f t="shared" si="110"/>
        <v>105</v>
      </c>
      <c r="S1255">
        <f t="shared" si="110"/>
        <v>97</v>
      </c>
      <c r="T1255">
        <f t="shared" si="110"/>
        <v>121</v>
      </c>
      <c r="U1255">
        <f t="shared" si="110"/>
        <v>114</v>
      </c>
      <c r="V1255">
        <f t="shared" si="110"/>
        <v>111</v>
      </c>
      <c r="W1255" s="5">
        <f t="shared" ref="W1255:W1318" si="112">ROUND((O1255*O$1+P1255/P$1+Q1255*Q$1+R1255/R$1)+SUM(S1255:V1255),0)</f>
        <v>933</v>
      </c>
      <c r="X1255" s="9" t="str">
        <f t="shared" ref="X1255:X1318" si="113">MID(G1255,2,1)&amp;TEXT(W1255,"###")</f>
        <v>u933</v>
      </c>
    </row>
    <row r="1256" spans="1:24" x14ac:dyDescent="0.2">
      <c r="A1256" s="9" t="s">
        <v>425</v>
      </c>
      <c r="B1256" s="9">
        <v>3</v>
      </c>
      <c r="C1256" s="25">
        <v>10</v>
      </c>
      <c r="D1256" s="25"/>
      <c r="E1256" s="23">
        <v>45397</v>
      </c>
      <c r="F1256" s="23" t="s">
        <v>283</v>
      </c>
      <c r="G1256" s="25" t="s">
        <v>301</v>
      </c>
      <c r="H1256" s="24">
        <v>1</v>
      </c>
      <c r="I1256" s="25" t="s">
        <v>345</v>
      </c>
      <c r="J1256" s="32">
        <v>45380</v>
      </c>
      <c r="K1256" s="24">
        <v>0.78</v>
      </c>
      <c r="L1256" s="9">
        <f t="shared" si="109"/>
        <v>762</v>
      </c>
      <c r="M1256" s="4">
        <f>IF(Table3[[#This Row],[Afrondingsdatum YB]]="N/A","-",Table3[[#This Row],[Afrondingsdatum YB]]-Table3[[#This Row],[StartDatum]])</f>
        <v>45380</v>
      </c>
      <c r="N1256" s="4"/>
      <c r="O1256">
        <f t="shared" si="111"/>
        <v>108</v>
      </c>
      <c r="P1256">
        <f t="shared" si="110"/>
        <v>121</v>
      </c>
      <c r="Q1256">
        <f t="shared" si="110"/>
        <v>115</v>
      </c>
      <c r="R1256">
        <f t="shared" si="110"/>
        <v>97</v>
      </c>
      <c r="S1256">
        <f t="shared" si="110"/>
        <v>110</v>
      </c>
      <c r="T1256">
        <f t="shared" si="110"/>
        <v>110</v>
      </c>
      <c r="U1256">
        <f t="shared" si="110"/>
        <v>101</v>
      </c>
      <c r="V1256">
        <f t="shared" si="110"/>
        <v>46</v>
      </c>
      <c r="W1256" s="5">
        <f t="shared" si="112"/>
        <v>905</v>
      </c>
      <c r="X1256" s="9" t="str">
        <f t="shared" si="113"/>
        <v>y905</v>
      </c>
    </row>
    <row r="1257" spans="1:24" x14ac:dyDescent="0.2">
      <c r="A1257" s="9" t="s">
        <v>425</v>
      </c>
      <c r="B1257" s="9">
        <v>3</v>
      </c>
      <c r="C1257" s="25">
        <v>10</v>
      </c>
      <c r="D1257" s="25"/>
      <c r="E1257" s="23">
        <v>45397</v>
      </c>
      <c r="F1257" s="23" t="s">
        <v>283</v>
      </c>
      <c r="G1257" s="25" t="s">
        <v>302</v>
      </c>
      <c r="H1257" s="24">
        <v>1</v>
      </c>
      <c r="I1257" s="25" t="s">
        <v>207</v>
      </c>
      <c r="J1257" s="32">
        <v>45348</v>
      </c>
      <c r="K1257" s="24">
        <v>0.95</v>
      </c>
      <c r="L1257" s="9">
        <f t="shared" si="109"/>
        <v>697</v>
      </c>
      <c r="M1257" s="4">
        <f>IF(Table3[[#This Row],[Afrondingsdatum YB]]="N/A","-",Table3[[#This Row],[Afrondingsdatum YB]]-Table3[[#This Row],[StartDatum]])</f>
        <v>45348</v>
      </c>
      <c r="N1257" s="4"/>
      <c r="O1257">
        <f t="shared" si="111"/>
        <v>109</v>
      </c>
      <c r="P1257">
        <f t="shared" si="110"/>
        <v>101</v>
      </c>
      <c r="Q1257">
        <f t="shared" si="110"/>
        <v>108</v>
      </c>
      <c r="R1257">
        <f t="shared" si="110"/>
        <v>118</v>
      </c>
      <c r="S1257">
        <f t="shared" si="110"/>
        <v>105</v>
      </c>
      <c r="T1257">
        <f t="shared" si="110"/>
        <v>110</v>
      </c>
      <c r="U1257">
        <f t="shared" si="110"/>
        <v>46</v>
      </c>
      <c r="V1257">
        <f t="shared" si="110"/>
        <v>98</v>
      </c>
      <c r="W1257" s="5">
        <f t="shared" si="112"/>
        <v>872</v>
      </c>
      <c r="X1257" s="9" t="str">
        <f t="shared" si="113"/>
        <v>e872</v>
      </c>
    </row>
    <row r="1258" spans="1:24" x14ac:dyDescent="0.2">
      <c r="A1258" s="9" t="s">
        <v>425</v>
      </c>
      <c r="B1258" s="9">
        <v>3</v>
      </c>
      <c r="C1258" s="25">
        <v>10</v>
      </c>
      <c r="D1258" s="25"/>
      <c r="E1258" s="23">
        <v>45397</v>
      </c>
      <c r="F1258" s="23" t="s">
        <v>280</v>
      </c>
      <c r="G1258" s="25" t="s">
        <v>339</v>
      </c>
      <c r="H1258" s="24">
        <v>0</v>
      </c>
      <c r="I1258" s="25" t="s">
        <v>8</v>
      </c>
      <c r="J1258" s="32" t="s">
        <v>7</v>
      </c>
      <c r="K1258" s="24" t="s">
        <v>9</v>
      </c>
      <c r="L1258" s="9">
        <f t="shared" si="109"/>
        <v>731</v>
      </c>
      <c r="M1258" s="4" t="str">
        <f>IF(Table3[[#This Row],[Afrondingsdatum YB]]="N/A","-",Table3[[#This Row],[Afrondingsdatum YB]]-Table3[[#This Row],[StartDatum]])</f>
        <v>-</v>
      </c>
      <c r="N1258" s="4"/>
      <c r="O1258">
        <f t="shared" si="111"/>
        <v>109</v>
      </c>
      <c r="P1258">
        <f t="shared" si="110"/>
        <v>111</v>
      </c>
      <c r="Q1258">
        <f t="shared" si="110"/>
        <v>104</v>
      </c>
      <c r="R1258">
        <f t="shared" si="110"/>
        <v>97</v>
      </c>
      <c r="S1258">
        <f t="shared" si="110"/>
        <v>109</v>
      </c>
      <c r="T1258">
        <f t="shared" si="110"/>
        <v>101</v>
      </c>
      <c r="U1258">
        <f t="shared" si="110"/>
        <v>100</v>
      </c>
      <c r="V1258">
        <f t="shared" si="110"/>
        <v>46</v>
      </c>
      <c r="W1258" s="5">
        <f t="shared" si="112"/>
        <v>857</v>
      </c>
      <c r="X1258" s="9" t="str">
        <f t="shared" si="113"/>
        <v>o857</v>
      </c>
    </row>
    <row r="1259" spans="1:24" x14ac:dyDescent="0.2">
      <c r="A1259" s="9" t="s">
        <v>425</v>
      </c>
      <c r="B1259" s="9">
        <v>3</v>
      </c>
      <c r="C1259" s="25">
        <v>10</v>
      </c>
      <c r="D1259" s="25"/>
      <c r="E1259" s="23">
        <v>45397</v>
      </c>
      <c r="F1259" s="23" t="s">
        <v>283</v>
      </c>
      <c r="G1259" s="25" t="s">
        <v>303</v>
      </c>
      <c r="H1259" s="24">
        <v>1</v>
      </c>
      <c r="I1259" s="25" t="s">
        <v>185</v>
      </c>
      <c r="J1259" s="32">
        <v>45383</v>
      </c>
      <c r="K1259" s="24">
        <v>0.75</v>
      </c>
      <c r="L1259" s="9">
        <f t="shared" si="109"/>
        <v>691</v>
      </c>
      <c r="M1259" s="4">
        <f>IF(Table3[[#This Row],[Afrondingsdatum YB]]="N/A","-",Table3[[#This Row],[Afrondingsdatum YB]]-Table3[[#This Row],[StartDatum]])</f>
        <v>45383</v>
      </c>
      <c r="N1259" s="4"/>
      <c r="O1259">
        <f t="shared" si="111"/>
        <v>109</v>
      </c>
      <c r="P1259">
        <f t="shared" si="111"/>
        <v>111</v>
      </c>
      <c r="Q1259">
        <f t="shared" si="111"/>
        <v>104</v>
      </c>
      <c r="R1259">
        <f t="shared" si="111"/>
        <v>105</v>
      </c>
      <c r="S1259">
        <f t="shared" si="111"/>
        <v>116</v>
      </c>
      <c r="T1259">
        <f t="shared" si="111"/>
        <v>46</v>
      </c>
      <c r="U1259">
        <f t="shared" si="111"/>
        <v>100</v>
      </c>
      <c r="V1259">
        <f t="shared" si="111"/>
        <v>97</v>
      </c>
      <c r="W1259" s="5">
        <f t="shared" si="112"/>
        <v>862</v>
      </c>
      <c r="X1259" s="9" t="str">
        <f t="shared" si="113"/>
        <v>o862</v>
      </c>
    </row>
    <row r="1260" spans="1:24" x14ac:dyDescent="0.2">
      <c r="A1260" s="9" t="s">
        <v>425</v>
      </c>
      <c r="B1260" s="9">
        <v>3</v>
      </c>
      <c r="C1260" s="25">
        <v>10</v>
      </c>
      <c r="D1260" s="25"/>
      <c r="E1260" s="23">
        <v>45397</v>
      </c>
      <c r="F1260" s="23" t="s">
        <v>280</v>
      </c>
      <c r="G1260" s="25" t="s">
        <v>304</v>
      </c>
      <c r="H1260" s="24">
        <v>0.22</v>
      </c>
      <c r="I1260" s="25" t="s">
        <v>328</v>
      </c>
      <c r="J1260" s="32" t="s">
        <v>7</v>
      </c>
      <c r="K1260" s="24" t="s">
        <v>9</v>
      </c>
      <c r="L1260" s="9">
        <f t="shared" ref="L1260:L1323" si="114">SUM(O1260:U1260)</f>
        <v>706</v>
      </c>
      <c r="M1260" s="4" t="str">
        <f>IF(Table3[[#This Row],[Afrondingsdatum YB]]="N/A","-",Table3[[#This Row],[Afrondingsdatum YB]]-Table3[[#This Row],[StartDatum]])</f>
        <v>-</v>
      </c>
      <c r="N1260" s="4"/>
      <c r="O1260">
        <f t="shared" si="111"/>
        <v>109</v>
      </c>
      <c r="P1260">
        <f t="shared" si="111"/>
        <v>111</v>
      </c>
      <c r="Q1260">
        <f t="shared" si="111"/>
        <v>108</v>
      </c>
      <c r="R1260">
        <f t="shared" si="111"/>
        <v>105</v>
      </c>
      <c r="S1260">
        <f t="shared" si="111"/>
        <v>116</v>
      </c>
      <c r="T1260">
        <f t="shared" si="111"/>
        <v>111</v>
      </c>
      <c r="U1260">
        <f t="shared" si="111"/>
        <v>46</v>
      </c>
      <c r="V1260">
        <f t="shared" si="111"/>
        <v>102</v>
      </c>
      <c r="W1260" s="5">
        <f t="shared" si="112"/>
        <v>890</v>
      </c>
      <c r="X1260" s="9" t="str">
        <f t="shared" si="113"/>
        <v>o890</v>
      </c>
    </row>
    <row r="1261" spans="1:24" x14ac:dyDescent="0.2">
      <c r="A1261" s="9" t="s">
        <v>425</v>
      </c>
      <c r="B1261" s="9">
        <v>3</v>
      </c>
      <c r="C1261" s="25">
        <v>10</v>
      </c>
      <c r="D1261" s="25"/>
      <c r="E1261" s="23">
        <v>45397</v>
      </c>
      <c r="F1261" s="23" t="s">
        <v>283</v>
      </c>
      <c r="G1261" s="25" t="s">
        <v>305</v>
      </c>
      <c r="H1261" s="24">
        <v>1</v>
      </c>
      <c r="I1261" s="25" t="s">
        <v>346</v>
      </c>
      <c r="J1261" s="32">
        <v>45377</v>
      </c>
      <c r="K1261" s="24">
        <v>0.83</v>
      </c>
      <c r="L1261" s="9">
        <f t="shared" si="114"/>
        <v>726</v>
      </c>
      <c r="M1261" s="4">
        <f>IF(Table3[[#This Row],[Afrondingsdatum YB]]="N/A","-",Table3[[#This Row],[Afrondingsdatum YB]]-Table3[[#This Row],[StartDatum]])</f>
        <v>45377</v>
      </c>
      <c r="N1261" s="4"/>
      <c r="O1261">
        <f t="shared" si="111"/>
        <v>77</v>
      </c>
      <c r="P1261">
        <f t="shared" si="111"/>
        <v>117</v>
      </c>
      <c r="Q1261">
        <f t="shared" si="111"/>
        <v>100</v>
      </c>
      <c r="R1261">
        <f t="shared" si="111"/>
        <v>97</v>
      </c>
      <c r="S1261">
        <f t="shared" si="111"/>
        <v>115</v>
      </c>
      <c r="T1261">
        <f t="shared" si="111"/>
        <v>115</v>
      </c>
      <c r="U1261">
        <f t="shared" si="111"/>
        <v>105</v>
      </c>
      <c r="V1261">
        <f t="shared" si="111"/>
        <v>114</v>
      </c>
      <c r="W1261" s="5">
        <f t="shared" si="112"/>
        <v>909</v>
      </c>
      <c r="X1261" s="9" t="str">
        <f t="shared" si="113"/>
        <v>u909</v>
      </c>
    </row>
    <row r="1262" spans="1:24" x14ac:dyDescent="0.2">
      <c r="A1262" s="9" t="s">
        <v>425</v>
      </c>
      <c r="B1262" s="9">
        <v>3</v>
      </c>
      <c r="C1262" s="25">
        <v>10</v>
      </c>
      <c r="D1262" s="25"/>
      <c r="E1262" s="23">
        <v>45397</v>
      </c>
      <c r="F1262" s="23" t="s">
        <v>280</v>
      </c>
      <c r="G1262" s="25" t="s">
        <v>306</v>
      </c>
      <c r="H1262" s="24">
        <v>1</v>
      </c>
      <c r="I1262" s="25" t="s">
        <v>252</v>
      </c>
      <c r="J1262" s="32">
        <v>45392</v>
      </c>
      <c r="K1262" s="24">
        <v>0.78</v>
      </c>
      <c r="L1262" s="9">
        <f t="shared" si="114"/>
        <v>684</v>
      </c>
      <c r="M1262" s="4">
        <f>IF(Table3[[#This Row],[Afrondingsdatum YB]]="N/A","-",Table3[[#This Row],[Afrondingsdatum YB]]-Table3[[#This Row],[StartDatum]])</f>
        <v>45392</v>
      </c>
      <c r="N1262" s="4"/>
      <c r="O1262">
        <f t="shared" si="111"/>
        <v>110</v>
      </c>
      <c r="P1262">
        <f t="shared" si="111"/>
        <v>97</v>
      </c>
      <c r="Q1262">
        <f t="shared" si="111"/>
        <v>114</v>
      </c>
      <c r="R1262">
        <f t="shared" si="111"/>
        <v>101</v>
      </c>
      <c r="S1262">
        <f t="shared" si="111"/>
        <v>107</v>
      </c>
      <c r="T1262">
        <f t="shared" si="111"/>
        <v>46</v>
      </c>
      <c r="U1262">
        <f t="shared" si="111"/>
        <v>109</v>
      </c>
      <c r="V1262">
        <f t="shared" si="111"/>
        <v>97</v>
      </c>
      <c r="W1262" s="5">
        <f t="shared" si="112"/>
        <v>885</v>
      </c>
      <c r="X1262" s="9" t="str">
        <f t="shared" si="113"/>
        <v>a885</v>
      </c>
    </row>
    <row r="1263" spans="1:24" x14ac:dyDescent="0.2">
      <c r="A1263" s="9" t="s">
        <v>425</v>
      </c>
      <c r="B1263" s="9">
        <v>3</v>
      </c>
      <c r="C1263" s="25">
        <v>10</v>
      </c>
      <c r="D1263" s="25"/>
      <c r="E1263" s="23">
        <v>45397</v>
      </c>
      <c r="F1263" s="23" t="s">
        <v>280</v>
      </c>
      <c r="G1263" s="25" t="s">
        <v>347</v>
      </c>
      <c r="H1263" s="24">
        <v>0.05</v>
      </c>
      <c r="I1263" s="25" t="s">
        <v>96</v>
      </c>
      <c r="J1263" s="32" t="s">
        <v>7</v>
      </c>
      <c r="K1263" s="24" t="s">
        <v>9</v>
      </c>
      <c r="L1263" s="9">
        <f t="shared" si="114"/>
        <v>672</v>
      </c>
      <c r="M1263" s="4" t="str">
        <f>IF(Table3[[#This Row],[Afrondingsdatum YB]]="N/A","-",Table3[[#This Row],[Afrondingsdatum YB]]-Table3[[#This Row],[StartDatum]])</f>
        <v>-</v>
      </c>
      <c r="N1263" s="4"/>
      <c r="O1263">
        <f t="shared" si="111"/>
        <v>111</v>
      </c>
      <c r="P1263">
        <f t="shared" si="111"/>
        <v>109</v>
      </c>
      <c r="Q1263">
        <f t="shared" si="111"/>
        <v>97</v>
      </c>
      <c r="R1263">
        <f t="shared" si="111"/>
        <v>114</v>
      </c>
      <c r="S1263">
        <f t="shared" si="111"/>
        <v>46</v>
      </c>
      <c r="T1263">
        <f t="shared" si="111"/>
        <v>97</v>
      </c>
      <c r="U1263">
        <f t="shared" si="111"/>
        <v>98</v>
      </c>
      <c r="V1263">
        <f t="shared" si="111"/>
        <v>100</v>
      </c>
      <c r="W1263" s="5">
        <f t="shared" si="112"/>
        <v>826</v>
      </c>
      <c r="X1263" s="9" t="str">
        <f t="shared" si="113"/>
        <v>m826</v>
      </c>
    </row>
    <row r="1264" spans="1:24" x14ac:dyDescent="0.2">
      <c r="A1264" s="9" t="s">
        <v>425</v>
      </c>
      <c r="B1264" s="9">
        <v>3</v>
      </c>
      <c r="C1264" s="25">
        <v>10</v>
      </c>
      <c r="D1264" s="25"/>
      <c r="E1264" s="23">
        <v>45397</v>
      </c>
      <c r="F1264" s="23" t="s">
        <v>283</v>
      </c>
      <c r="G1264" s="25" t="s">
        <v>307</v>
      </c>
      <c r="H1264" s="24">
        <v>1</v>
      </c>
      <c r="I1264" s="25" t="s">
        <v>243</v>
      </c>
      <c r="J1264" s="32">
        <v>45345</v>
      </c>
      <c r="K1264" s="24">
        <v>0.98</v>
      </c>
      <c r="L1264" s="9">
        <f t="shared" si="114"/>
        <v>695</v>
      </c>
      <c r="M1264" s="4">
        <f>IF(Table3[[#This Row],[Afrondingsdatum YB]]="N/A","-",Table3[[#This Row],[Afrondingsdatum YB]]-Table3[[#This Row],[StartDatum]])</f>
        <v>45345</v>
      </c>
      <c r="N1264" s="4"/>
      <c r="O1264">
        <f t="shared" si="111"/>
        <v>114</v>
      </c>
      <c r="P1264">
        <f t="shared" si="111"/>
        <v>101</v>
      </c>
      <c r="Q1264">
        <f t="shared" si="111"/>
        <v>109</v>
      </c>
      <c r="R1264">
        <f t="shared" si="111"/>
        <v>121</v>
      </c>
      <c r="S1264">
        <f t="shared" si="111"/>
        <v>46</v>
      </c>
      <c r="T1264">
        <f t="shared" si="111"/>
        <v>97</v>
      </c>
      <c r="U1264">
        <f t="shared" si="111"/>
        <v>107</v>
      </c>
      <c r="V1264">
        <f t="shared" si="111"/>
        <v>98</v>
      </c>
      <c r="W1264" s="5">
        <f t="shared" si="112"/>
        <v>870</v>
      </c>
      <c r="X1264" s="9" t="str">
        <f t="shared" si="113"/>
        <v>e870</v>
      </c>
    </row>
    <row r="1265" spans="1:24" x14ac:dyDescent="0.2">
      <c r="A1265" s="9" t="s">
        <v>425</v>
      </c>
      <c r="B1265" s="9">
        <v>3</v>
      </c>
      <c r="C1265" s="25">
        <v>10</v>
      </c>
      <c r="D1265" s="25"/>
      <c r="E1265" s="23">
        <v>45397</v>
      </c>
      <c r="F1265" s="23" t="s">
        <v>283</v>
      </c>
      <c r="G1265" s="25" t="s">
        <v>348</v>
      </c>
      <c r="H1265" s="24">
        <v>1</v>
      </c>
      <c r="I1265" s="25" t="s">
        <v>205</v>
      </c>
      <c r="J1265" s="32">
        <v>45378</v>
      </c>
      <c r="K1265" s="24">
        <v>0.73</v>
      </c>
      <c r="L1265" s="9">
        <f t="shared" si="114"/>
        <v>766</v>
      </c>
      <c r="M1265" s="4">
        <f>IF(Table3[[#This Row],[Afrondingsdatum YB]]="N/A","-",Table3[[#This Row],[Afrondingsdatum YB]]-Table3[[#This Row],[StartDatum]])</f>
        <v>45378</v>
      </c>
      <c r="N1265" s="4"/>
      <c r="O1265">
        <f t="shared" si="111"/>
        <v>114</v>
      </c>
      <c r="P1265">
        <f t="shared" si="111"/>
        <v>111</v>
      </c>
      <c r="Q1265">
        <f t="shared" si="111"/>
        <v>109</v>
      </c>
      <c r="R1265">
        <f t="shared" si="111"/>
        <v>97</v>
      </c>
      <c r="S1265">
        <f t="shared" si="111"/>
        <v>105</v>
      </c>
      <c r="T1265">
        <f t="shared" si="111"/>
        <v>115</v>
      </c>
      <c r="U1265">
        <f t="shared" si="111"/>
        <v>115</v>
      </c>
      <c r="V1265">
        <f t="shared" si="111"/>
        <v>97</v>
      </c>
      <c r="W1265" s="5">
        <f t="shared" si="112"/>
        <v>953</v>
      </c>
      <c r="X1265" s="9" t="str">
        <f t="shared" si="113"/>
        <v>o953</v>
      </c>
    </row>
    <row r="1266" spans="1:24" x14ac:dyDescent="0.2">
      <c r="A1266" s="9" t="s">
        <v>425</v>
      </c>
      <c r="B1266" s="9">
        <v>3</v>
      </c>
      <c r="C1266" s="25">
        <v>10</v>
      </c>
      <c r="D1266" s="25"/>
      <c r="E1266" s="23">
        <v>45397</v>
      </c>
      <c r="F1266" s="23" t="s">
        <v>280</v>
      </c>
      <c r="G1266" s="25" t="s">
        <v>308</v>
      </c>
      <c r="H1266" s="24">
        <v>0.99</v>
      </c>
      <c r="I1266" s="25" t="s">
        <v>355</v>
      </c>
      <c r="J1266" s="32" t="s">
        <v>7</v>
      </c>
      <c r="K1266" s="24" t="s">
        <v>9</v>
      </c>
      <c r="L1266" s="9">
        <f t="shared" si="114"/>
        <v>712</v>
      </c>
      <c r="M1266" s="4" t="str">
        <f>IF(Table3[[#This Row],[Afrondingsdatum YB]]="N/A","-",Table3[[#This Row],[Afrondingsdatum YB]]-Table3[[#This Row],[StartDatum]])</f>
        <v>-</v>
      </c>
      <c r="N1266" s="4"/>
      <c r="O1266">
        <f t="shared" si="111"/>
        <v>114</v>
      </c>
      <c r="P1266">
        <f t="shared" si="111"/>
        <v>111</v>
      </c>
      <c r="Q1266">
        <f t="shared" si="111"/>
        <v>119</v>
      </c>
      <c r="R1266">
        <f t="shared" si="111"/>
        <v>97</v>
      </c>
      <c r="S1266">
        <f t="shared" si="111"/>
        <v>110</v>
      </c>
      <c r="T1266">
        <f t="shared" si="111"/>
        <v>46</v>
      </c>
      <c r="U1266">
        <f t="shared" si="111"/>
        <v>115</v>
      </c>
      <c r="V1266">
        <f t="shared" si="111"/>
        <v>97</v>
      </c>
      <c r="W1266" s="5">
        <f t="shared" si="112"/>
        <v>919</v>
      </c>
      <c r="X1266" s="9" t="str">
        <f t="shared" si="113"/>
        <v>o919</v>
      </c>
    </row>
    <row r="1267" spans="1:24" x14ac:dyDescent="0.2">
      <c r="A1267" s="9" t="s">
        <v>425</v>
      </c>
      <c r="B1267" s="9">
        <v>3</v>
      </c>
      <c r="C1267" s="25">
        <v>10</v>
      </c>
      <c r="D1267" s="25"/>
      <c r="E1267" s="23">
        <v>45397</v>
      </c>
      <c r="F1267" s="23" t="s">
        <v>283</v>
      </c>
      <c r="G1267" s="25" t="s">
        <v>309</v>
      </c>
      <c r="H1267" s="24">
        <v>1</v>
      </c>
      <c r="I1267" s="25" t="s">
        <v>351</v>
      </c>
      <c r="J1267" s="32">
        <v>45384</v>
      </c>
      <c r="K1267" s="24">
        <v>0.7</v>
      </c>
      <c r="L1267" s="9">
        <f t="shared" si="114"/>
        <v>736</v>
      </c>
      <c r="M1267" s="4">
        <f>IF(Table3[[#This Row],[Afrondingsdatum YB]]="N/A","-",Table3[[#This Row],[Afrondingsdatum YB]]-Table3[[#This Row],[StartDatum]])</f>
        <v>45384</v>
      </c>
      <c r="N1267" s="4"/>
      <c r="O1267">
        <f t="shared" si="111"/>
        <v>115</v>
      </c>
      <c r="P1267">
        <f t="shared" si="111"/>
        <v>97</v>
      </c>
      <c r="Q1267">
        <f t="shared" si="111"/>
        <v>121</v>
      </c>
      <c r="R1267">
        <f t="shared" si="111"/>
        <v>102</v>
      </c>
      <c r="S1267">
        <f t="shared" si="111"/>
        <v>101</v>
      </c>
      <c r="T1267">
        <f t="shared" si="111"/>
        <v>100</v>
      </c>
      <c r="U1267">
        <f t="shared" si="111"/>
        <v>100</v>
      </c>
      <c r="V1267">
        <f t="shared" si="111"/>
        <v>105</v>
      </c>
      <c r="W1267" s="5">
        <f t="shared" si="112"/>
        <v>958</v>
      </c>
      <c r="X1267" s="9" t="str">
        <f t="shared" si="113"/>
        <v>a958</v>
      </c>
    </row>
    <row r="1268" spans="1:24" x14ac:dyDescent="0.2">
      <c r="A1268" s="9" t="s">
        <v>425</v>
      </c>
      <c r="B1268" s="9">
        <v>3</v>
      </c>
      <c r="C1268" s="25">
        <v>10</v>
      </c>
      <c r="D1268" s="25"/>
      <c r="E1268" s="23">
        <v>45397</v>
      </c>
      <c r="F1268" s="23" t="s">
        <v>280</v>
      </c>
      <c r="G1268" s="25" t="s">
        <v>318</v>
      </c>
      <c r="H1268" s="24">
        <v>0.39</v>
      </c>
      <c r="I1268" s="25" t="s">
        <v>330</v>
      </c>
      <c r="J1268" s="32" t="s">
        <v>7</v>
      </c>
      <c r="K1268" s="24" t="s">
        <v>9</v>
      </c>
      <c r="L1268" s="9">
        <f t="shared" si="114"/>
        <v>672</v>
      </c>
      <c r="M1268" s="4" t="str">
        <f>IF(Table3[[#This Row],[Afrondingsdatum YB]]="N/A","-",Table3[[#This Row],[Afrondingsdatum YB]]-Table3[[#This Row],[StartDatum]])</f>
        <v>-</v>
      </c>
      <c r="N1268" s="4"/>
      <c r="O1268">
        <f t="shared" si="111"/>
        <v>115</v>
      </c>
      <c r="P1268">
        <f t="shared" si="111"/>
        <v>101</v>
      </c>
      <c r="Q1268">
        <f t="shared" si="111"/>
        <v>98</v>
      </c>
      <c r="R1268">
        <f t="shared" si="111"/>
        <v>97</v>
      </c>
      <c r="S1268">
        <f t="shared" si="111"/>
        <v>115</v>
      </c>
      <c r="T1268">
        <f t="shared" si="111"/>
        <v>46</v>
      </c>
      <c r="U1268">
        <f t="shared" si="111"/>
        <v>100</v>
      </c>
      <c r="V1268">
        <f t="shared" si="111"/>
        <v>101</v>
      </c>
      <c r="W1268" s="5">
        <f t="shared" si="112"/>
        <v>846</v>
      </c>
      <c r="X1268" s="9" t="str">
        <f t="shared" si="113"/>
        <v>e846</v>
      </c>
    </row>
    <row r="1269" spans="1:24" x14ac:dyDescent="0.2">
      <c r="A1269" s="9" t="s">
        <v>425</v>
      </c>
      <c r="B1269" s="9">
        <v>3</v>
      </c>
      <c r="C1269" s="25">
        <v>10</v>
      </c>
      <c r="D1269" s="25"/>
      <c r="E1269" s="23">
        <v>45397</v>
      </c>
      <c r="F1269" s="23" t="s">
        <v>283</v>
      </c>
      <c r="G1269" s="25" t="s">
        <v>310</v>
      </c>
      <c r="H1269" s="24">
        <v>1</v>
      </c>
      <c r="I1269" s="25" t="s">
        <v>352</v>
      </c>
      <c r="J1269" s="32">
        <v>45389</v>
      </c>
      <c r="K1269" s="24">
        <v>0.85</v>
      </c>
      <c r="L1269" s="9">
        <f t="shared" si="114"/>
        <v>724</v>
      </c>
      <c r="M1269" s="4">
        <f>IF(Table3[[#This Row],[Afrondingsdatum YB]]="N/A","-",Table3[[#This Row],[Afrondingsdatum YB]]-Table3[[#This Row],[StartDatum]])</f>
        <v>45389</v>
      </c>
      <c r="N1269" s="4"/>
      <c r="O1269">
        <f t="shared" si="111"/>
        <v>116</v>
      </c>
      <c r="P1269">
        <f t="shared" si="111"/>
        <v>111</v>
      </c>
      <c r="Q1269">
        <f t="shared" si="111"/>
        <v>109</v>
      </c>
      <c r="R1269">
        <f t="shared" si="111"/>
        <v>109</v>
      </c>
      <c r="S1269">
        <f t="shared" si="111"/>
        <v>121</v>
      </c>
      <c r="T1269">
        <f t="shared" si="111"/>
        <v>46</v>
      </c>
      <c r="U1269">
        <f t="shared" si="111"/>
        <v>112</v>
      </c>
      <c r="V1269">
        <f t="shared" si="111"/>
        <v>111</v>
      </c>
      <c r="W1269" s="5">
        <f t="shared" si="112"/>
        <v>916</v>
      </c>
      <c r="X1269" s="9" t="str">
        <f t="shared" si="113"/>
        <v>o916</v>
      </c>
    </row>
    <row r="1270" spans="1:24" x14ac:dyDescent="0.2">
      <c r="A1270" s="9" t="s">
        <v>425</v>
      </c>
      <c r="B1270" s="9">
        <v>3</v>
      </c>
      <c r="C1270" s="25">
        <v>10</v>
      </c>
      <c r="D1270" s="25"/>
      <c r="E1270" s="23">
        <v>45397</v>
      </c>
      <c r="F1270" s="23" t="s">
        <v>280</v>
      </c>
      <c r="G1270" s="25" t="s">
        <v>322</v>
      </c>
      <c r="H1270" s="24">
        <v>1</v>
      </c>
      <c r="I1270" s="25" t="s">
        <v>158</v>
      </c>
      <c r="J1270" s="32">
        <v>45368</v>
      </c>
      <c r="K1270" s="24">
        <v>0.85</v>
      </c>
      <c r="L1270" s="9">
        <f t="shared" si="114"/>
        <v>728</v>
      </c>
      <c r="M1270" s="4">
        <f>IF(Table3[[#This Row],[Afrondingsdatum YB]]="N/A","-",Table3[[#This Row],[Afrondingsdatum YB]]-Table3[[#This Row],[StartDatum]])</f>
        <v>45368</v>
      </c>
      <c r="N1270" s="4"/>
      <c r="O1270">
        <f t="shared" si="111"/>
        <v>120</v>
      </c>
      <c r="P1270">
        <f t="shared" si="111"/>
        <v>117</v>
      </c>
      <c r="Q1270">
        <f t="shared" si="111"/>
        <v>121</v>
      </c>
      <c r="R1270">
        <f t="shared" si="111"/>
        <v>117</v>
      </c>
      <c r="S1270">
        <f t="shared" si="111"/>
        <v>97</v>
      </c>
      <c r="T1270">
        <f t="shared" si="111"/>
        <v>110</v>
      </c>
      <c r="U1270">
        <f t="shared" si="111"/>
        <v>46</v>
      </c>
      <c r="V1270">
        <f t="shared" si="111"/>
        <v>121</v>
      </c>
      <c r="W1270" s="5">
        <f t="shared" si="112"/>
        <v>945</v>
      </c>
      <c r="X1270" s="9" t="str">
        <f t="shared" si="113"/>
        <v>u945</v>
      </c>
    </row>
    <row r="1271" spans="1:24" x14ac:dyDescent="0.2">
      <c r="A1271" s="9" t="s">
        <v>425</v>
      </c>
      <c r="B1271" s="9">
        <v>3</v>
      </c>
      <c r="C1271" s="25">
        <v>10</v>
      </c>
      <c r="D1271" s="25"/>
      <c r="E1271" s="23">
        <v>45397</v>
      </c>
      <c r="F1271" s="23" t="s">
        <v>283</v>
      </c>
      <c r="G1271" s="25" t="s">
        <v>311</v>
      </c>
      <c r="H1271" s="24">
        <v>1</v>
      </c>
      <c r="I1271" s="25" t="s">
        <v>164</v>
      </c>
      <c r="J1271" s="32">
        <v>45383</v>
      </c>
      <c r="K1271" s="24">
        <v>0.78</v>
      </c>
      <c r="L1271" s="9">
        <f t="shared" si="114"/>
        <v>758</v>
      </c>
      <c r="M1271" s="4">
        <f>IF(Table3[[#This Row],[Afrondingsdatum YB]]="N/A","-",Table3[[#This Row],[Afrondingsdatum YB]]-Table3[[#This Row],[StartDatum]])</f>
        <v>45383</v>
      </c>
      <c r="N1271" s="4"/>
      <c r="O1271">
        <f t="shared" si="111"/>
        <v>121</v>
      </c>
      <c r="P1271">
        <f t="shared" si="111"/>
        <v>97</v>
      </c>
      <c r="Q1271">
        <f t="shared" si="111"/>
        <v>115</v>
      </c>
      <c r="R1271">
        <f t="shared" si="111"/>
        <v>109</v>
      </c>
      <c r="S1271">
        <f t="shared" si="111"/>
        <v>105</v>
      </c>
      <c r="T1271">
        <f t="shared" si="111"/>
        <v>110</v>
      </c>
      <c r="U1271">
        <f t="shared" si="111"/>
        <v>101</v>
      </c>
      <c r="V1271">
        <f t="shared" si="111"/>
        <v>46</v>
      </c>
      <c r="W1271" s="5">
        <f t="shared" si="112"/>
        <v>904</v>
      </c>
      <c r="X1271" s="9" t="str">
        <f t="shared" si="113"/>
        <v>a904</v>
      </c>
    </row>
    <row r="1272" spans="1:24" x14ac:dyDescent="0.2">
      <c r="A1272" s="9" t="s">
        <v>425</v>
      </c>
      <c r="B1272" s="9">
        <v>3</v>
      </c>
      <c r="C1272" s="25">
        <v>10</v>
      </c>
      <c r="D1272" s="25"/>
      <c r="E1272" s="23">
        <v>45397</v>
      </c>
      <c r="F1272" s="23" t="s">
        <v>283</v>
      </c>
      <c r="G1272" s="25" t="s">
        <v>340</v>
      </c>
      <c r="H1272" s="24">
        <v>1</v>
      </c>
      <c r="I1272" s="25" t="s">
        <v>341</v>
      </c>
      <c r="J1272" s="32">
        <v>45375</v>
      </c>
      <c r="K1272" s="24">
        <v>0.9</v>
      </c>
      <c r="L1272" s="9">
        <f t="shared" si="114"/>
        <v>782</v>
      </c>
      <c r="M1272" s="4">
        <f>IF(Table3[[#This Row],[Afrondingsdatum YB]]="N/A","-",Table3[[#This Row],[Afrondingsdatum YB]]-Table3[[#This Row],[StartDatum]])</f>
        <v>45375</v>
      </c>
      <c r="N1272" s="4"/>
      <c r="O1272">
        <f t="shared" si="111"/>
        <v>121</v>
      </c>
      <c r="P1272">
        <f t="shared" si="111"/>
        <v>111</v>
      </c>
      <c r="Q1272">
        <f t="shared" si="111"/>
        <v>117</v>
      </c>
      <c r="R1272">
        <f t="shared" si="111"/>
        <v>115</v>
      </c>
      <c r="S1272">
        <f t="shared" si="111"/>
        <v>115</v>
      </c>
      <c r="T1272">
        <f t="shared" si="111"/>
        <v>101</v>
      </c>
      <c r="U1272">
        <f t="shared" si="111"/>
        <v>102</v>
      </c>
      <c r="V1272">
        <f t="shared" si="111"/>
        <v>46</v>
      </c>
      <c r="W1272" s="5">
        <f t="shared" si="112"/>
        <v>920</v>
      </c>
      <c r="X1272" s="9" t="str">
        <f t="shared" si="113"/>
        <v>o920</v>
      </c>
    </row>
    <row r="1273" spans="1:24" x14ac:dyDescent="0.2">
      <c r="A1273" s="9" t="s">
        <v>425</v>
      </c>
      <c r="B1273" s="9">
        <v>3</v>
      </c>
      <c r="C1273" s="25">
        <v>10</v>
      </c>
      <c r="D1273" s="25"/>
      <c r="E1273" s="23">
        <v>45397</v>
      </c>
      <c r="F1273" s="23" t="s">
        <v>280</v>
      </c>
      <c r="G1273" s="25" t="s">
        <v>312</v>
      </c>
      <c r="H1273" s="24">
        <v>0.98</v>
      </c>
      <c r="I1273" s="25" t="s">
        <v>159</v>
      </c>
      <c r="J1273" s="32" t="s">
        <v>7</v>
      </c>
      <c r="K1273" s="24" t="s">
        <v>9</v>
      </c>
      <c r="L1273" s="9">
        <f t="shared" si="114"/>
        <v>790</v>
      </c>
      <c r="M1273" s="4" t="str">
        <f>IF(Table3[[#This Row],[Afrondingsdatum YB]]="N/A","-",Table3[[#This Row],[Afrondingsdatum YB]]-Table3[[#This Row],[StartDatum]])</f>
        <v>-</v>
      </c>
      <c r="N1273" s="4"/>
      <c r="O1273">
        <f t="shared" si="111"/>
        <v>121</v>
      </c>
      <c r="P1273">
        <f t="shared" si="111"/>
        <v>111</v>
      </c>
      <c r="Q1273">
        <f t="shared" si="111"/>
        <v>117</v>
      </c>
      <c r="R1273">
        <f t="shared" si="111"/>
        <v>115</v>
      </c>
      <c r="S1273">
        <f t="shared" si="111"/>
        <v>115</v>
      </c>
      <c r="T1273">
        <f t="shared" si="111"/>
        <v>114</v>
      </c>
      <c r="U1273">
        <f t="shared" si="111"/>
        <v>97</v>
      </c>
      <c r="V1273">
        <f t="shared" si="111"/>
        <v>46</v>
      </c>
      <c r="W1273" s="5">
        <f t="shared" si="112"/>
        <v>928</v>
      </c>
      <c r="X1273" s="9" t="str">
        <f t="shared" si="113"/>
        <v>o928</v>
      </c>
    </row>
    <row r="1274" spans="1:24" x14ac:dyDescent="0.2">
      <c r="A1274" s="9" t="s">
        <v>425</v>
      </c>
      <c r="B1274" s="9">
        <v>3</v>
      </c>
      <c r="C1274" s="25">
        <v>10</v>
      </c>
      <c r="D1274" s="25"/>
      <c r="E1274" s="23">
        <v>45397</v>
      </c>
      <c r="F1274" s="23" t="s">
        <v>283</v>
      </c>
      <c r="G1274" s="25" t="s">
        <v>323</v>
      </c>
      <c r="H1274" s="24">
        <v>1</v>
      </c>
      <c r="I1274" s="25" t="s">
        <v>187</v>
      </c>
      <c r="J1274" s="32">
        <v>45384</v>
      </c>
      <c r="K1274" s="24">
        <v>0.75</v>
      </c>
      <c r="L1274" s="9">
        <f t="shared" si="114"/>
        <v>685</v>
      </c>
      <c r="M1274" s="4">
        <f>IF(Table3[[#This Row],[Afrondingsdatum YB]]="N/A","-",Table3[[#This Row],[Afrondingsdatum YB]]-Table3[[#This Row],[StartDatum]])</f>
        <v>45384</v>
      </c>
      <c r="N1274" s="4"/>
      <c r="O1274">
        <f t="shared" si="111"/>
        <v>122</v>
      </c>
      <c r="P1274">
        <f t="shared" si="111"/>
        <v>105</v>
      </c>
      <c r="Q1274">
        <f t="shared" si="111"/>
        <v>97</v>
      </c>
      <c r="R1274">
        <f t="shared" si="111"/>
        <v>46</v>
      </c>
      <c r="S1274">
        <f t="shared" si="111"/>
        <v>100</v>
      </c>
      <c r="T1274">
        <f t="shared" si="111"/>
        <v>105</v>
      </c>
      <c r="U1274">
        <f t="shared" si="111"/>
        <v>110</v>
      </c>
      <c r="V1274">
        <f t="shared" si="111"/>
        <v>109</v>
      </c>
      <c r="W1274" s="5">
        <f t="shared" si="112"/>
        <v>901</v>
      </c>
      <c r="X1274" s="9" t="str">
        <f t="shared" si="113"/>
        <v>i901</v>
      </c>
    </row>
    <row r="1275" spans="1:24" x14ac:dyDescent="0.2">
      <c r="A1275" s="9" t="s">
        <v>425</v>
      </c>
      <c r="B1275" s="9">
        <v>3</v>
      </c>
      <c r="C1275" s="25">
        <v>11</v>
      </c>
      <c r="D1275" s="25"/>
      <c r="E1275" s="23">
        <v>45404</v>
      </c>
      <c r="F1275" s="23" t="s">
        <v>280</v>
      </c>
      <c r="G1275" s="25" t="s">
        <v>281</v>
      </c>
      <c r="H1275" s="24">
        <v>1</v>
      </c>
      <c r="I1275" s="25" t="s">
        <v>331</v>
      </c>
      <c r="J1275" s="32">
        <v>45373</v>
      </c>
      <c r="K1275" s="24">
        <v>0.8</v>
      </c>
      <c r="L1275" s="9">
        <f t="shared" si="114"/>
        <v>717</v>
      </c>
      <c r="M1275" s="4">
        <f>IF(Table3[[#This Row],[Afrondingsdatum YB]]="N/A","-",Table3[[#This Row],[Afrondingsdatum YB]]-Table3[[#This Row],[StartDatum]])</f>
        <v>45373</v>
      </c>
      <c r="N1275" s="4"/>
      <c r="O1275">
        <f t="shared" si="111"/>
        <v>97</v>
      </c>
      <c r="P1275">
        <f t="shared" si="111"/>
        <v>98</v>
      </c>
      <c r="Q1275">
        <f t="shared" si="111"/>
        <v>100</v>
      </c>
      <c r="R1275">
        <f t="shared" si="111"/>
        <v>101</v>
      </c>
      <c r="S1275">
        <f t="shared" si="111"/>
        <v>108</v>
      </c>
      <c r="T1275">
        <f t="shared" si="111"/>
        <v>105</v>
      </c>
      <c r="U1275">
        <f t="shared" si="111"/>
        <v>108</v>
      </c>
      <c r="V1275">
        <f t="shared" si="111"/>
        <v>97</v>
      </c>
      <c r="W1275" s="5">
        <f t="shared" si="112"/>
        <v>889</v>
      </c>
      <c r="X1275" s="9" t="str">
        <f t="shared" si="113"/>
        <v>b889</v>
      </c>
    </row>
    <row r="1276" spans="1:24" x14ac:dyDescent="0.2">
      <c r="A1276" s="9" t="s">
        <v>425</v>
      </c>
      <c r="B1276" s="9">
        <v>3</v>
      </c>
      <c r="C1276" s="25">
        <v>11</v>
      </c>
      <c r="D1276" s="25"/>
      <c r="E1276" s="23">
        <v>45404</v>
      </c>
      <c r="F1276" s="23" t="s">
        <v>280</v>
      </c>
      <c r="G1276" s="25" t="s">
        <v>282</v>
      </c>
      <c r="H1276" s="24">
        <v>0.02</v>
      </c>
      <c r="I1276" s="25" t="s">
        <v>325</v>
      </c>
      <c r="J1276" s="32" t="s">
        <v>7</v>
      </c>
      <c r="K1276" s="24" t="s">
        <v>9</v>
      </c>
      <c r="L1276" s="9">
        <f t="shared" si="114"/>
        <v>675</v>
      </c>
      <c r="M1276" s="4" t="str">
        <f>IF(Table3[[#This Row],[Afrondingsdatum YB]]="N/A","-",Table3[[#This Row],[Afrondingsdatum YB]]-Table3[[#This Row],[StartDatum]])</f>
        <v>-</v>
      </c>
      <c r="N1276" s="4"/>
      <c r="O1276">
        <f t="shared" si="111"/>
        <v>97</v>
      </c>
      <c r="P1276">
        <f t="shared" si="111"/>
        <v>104</v>
      </c>
      <c r="Q1276">
        <f t="shared" si="111"/>
        <v>109</v>
      </c>
      <c r="R1276">
        <f t="shared" si="111"/>
        <v>97</v>
      </c>
      <c r="S1276">
        <f t="shared" si="111"/>
        <v>100</v>
      </c>
      <c r="T1276">
        <f t="shared" si="111"/>
        <v>46</v>
      </c>
      <c r="U1276">
        <f t="shared" si="111"/>
        <v>122</v>
      </c>
      <c r="V1276">
        <f t="shared" si="111"/>
        <v>97</v>
      </c>
      <c r="W1276" s="5">
        <f t="shared" si="112"/>
        <v>865</v>
      </c>
      <c r="X1276" s="9" t="str">
        <f t="shared" si="113"/>
        <v>h865</v>
      </c>
    </row>
    <row r="1277" spans="1:24" x14ac:dyDescent="0.2">
      <c r="A1277" s="9" t="s">
        <v>425</v>
      </c>
      <c r="B1277" s="9">
        <v>3</v>
      </c>
      <c r="C1277" s="25">
        <v>11</v>
      </c>
      <c r="D1277" s="25"/>
      <c r="E1277" s="23">
        <v>45404</v>
      </c>
      <c r="F1277" s="23" t="s">
        <v>283</v>
      </c>
      <c r="G1277" s="25" t="s">
        <v>284</v>
      </c>
      <c r="H1277" s="24">
        <v>1</v>
      </c>
      <c r="I1277" s="25" t="s">
        <v>208</v>
      </c>
      <c r="J1277" s="32">
        <v>45354</v>
      </c>
      <c r="K1277" s="24">
        <v>0.8</v>
      </c>
      <c r="L1277" s="9">
        <f t="shared" si="114"/>
        <v>656</v>
      </c>
      <c r="M1277" s="4">
        <f>IF(Table3[[#This Row],[Afrondingsdatum YB]]="N/A","-",Table3[[#This Row],[Afrondingsdatum YB]]-Table3[[#This Row],[StartDatum]])</f>
        <v>45354</v>
      </c>
      <c r="N1277" s="4"/>
      <c r="O1277">
        <f t="shared" si="111"/>
        <v>65</v>
      </c>
      <c r="P1277">
        <f t="shared" si="111"/>
        <v>104</v>
      </c>
      <c r="Q1277">
        <f t="shared" si="111"/>
        <v>109</v>
      </c>
      <c r="R1277">
        <f t="shared" si="111"/>
        <v>101</v>
      </c>
      <c r="S1277">
        <f t="shared" si="111"/>
        <v>116</v>
      </c>
      <c r="T1277">
        <f t="shared" si="111"/>
        <v>46</v>
      </c>
      <c r="U1277">
        <f t="shared" si="111"/>
        <v>115</v>
      </c>
      <c r="V1277">
        <f t="shared" si="111"/>
        <v>101</v>
      </c>
      <c r="W1277" s="5">
        <f t="shared" si="112"/>
        <v>847</v>
      </c>
      <c r="X1277" s="9" t="str">
        <f t="shared" si="113"/>
        <v>h847</v>
      </c>
    </row>
    <row r="1278" spans="1:24" x14ac:dyDescent="0.2">
      <c r="A1278" s="9" t="s">
        <v>425</v>
      </c>
      <c r="B1278" s="9">
        <v>3</v>
      </c>
      <c r="C1278" s="25">
        <v>11</v>
      </c>
      <c r="D1278" s="25"/>
      <c r="E1278" s="23">
        <v>45404</v>
      </c>
      <c r="F1278" s="23" t="s">
        <v>283</v>
      </c>
      <c r="G1278" s="25" t="s">
        <v>285</v>
      </c>
      <c r="H1278" s="24">
        <v>1</v>
      </c>
      <c r="I1278" s="25" t="s">
        <v>139</v>
      </c>
      <c r="J1278" s="32">
        <v>45380</v>
      </c>
      <c r="K1278" s="24">
        <v>0.78</v>
      </c>
      <c r="L1278" s="9">
        <f t="shared" si="114"/>
        <v>747</v>
      </c>
      <c r="M1278" s="4">
        <f>IF(Table3[[#This Row],[Afrondingsdatum YB]]="N/A","-",Table3[[#This Row],[Afrondingsdatum YB]]-Table3[[#This Row],[StartDatum]])</f>
        <v>45380</v>
      </c>
      <c r="N1278" s="4"/>
      <c r="O1278">
        <f t="shared" si="111"/>
        <v>97</v>
      </c>
      <c r="P1278">
        <f t="shared" si="111"/>
        <v>110</v>
      </c>
      <c r="Q1278">
        <f t="shared" si="111"/>
        <v>97</v>
      </c>
      <c r="R1278">
        <f t="shared" si="111"/>
        <v>115</v>
      </c>
      <c r="S1278">
        <f t="shared" si="111"/>
        <v>116</v>
      </c>
      <c r="T1278">
        <f t="shared" si="111"/>
        <v>97</v>
      </c>
      <c r="U1278">
        <f t="shared" si="111"/>
        <v>115</v>
      </c>
      <c r="V1278">
        <f t="shared" si="111"/>
        <v>105</v>
      </c>
      <c r="W1278" s="5">
        <f t="shared" si="112"/>
        <v>905</v>
      </c>
      <c r="X1278" s="9" t="str">
        <f t="shared" si="113"/>
        <v>n905</v>
      </c>
    </row>
    <row r="1279" spans="1:24" x14ac:dyDescent="0.2">
      <c r="A1279" s="9" t="s">
        <v>425</v>
      </c>
      <c r="B1279" s="9">
        <v>3</v>
      </c>
      <c r="C1279" s="25">
        <v>11</v>
      </c>
      <c r="D1279" s="25"/>
      <c r="E1279" s="23">
        <v>45404</v>
      </c>
      <c r="F1279" s="23" t="s">
        <v>283</v>
      </c>
      <c r="G1279" s="25" t="s">
        <v>333</v>
      </c>
      <c r="H1279" s="24">
        <v>1</v>
      </c>
      <c r="I1279" s="25" t="s">
        <v>342</v>
      </c>
      <c r="J1279" s="32">
        <v>45382</v>
      </c>
      <c r="K1279" s="24">
        <v>0.85</v>
      </c>
      <c r="L1279" s="9">
        <f t="shared" si="114"/>
        <v>675</v>
      </c>
      <c r="M1279" s="4">
        <f>IF(Table3[[#This Row],[Afrondingsdatum YB]]="N/A","-",Table3[[#This Row],[Afrondingsdatum YB]]-Table3[[#This Row],[StartDatum]])</f>
        <v>45382</v>
      </c>
      <c r="N1279" s="4"/>
      <c r="O1279">
        <f t="shared" si="111"/>
        <v>97</v>
      </c>
      <c r="P1279">
        <f t="shared" si="111"/>
        <v>115</v>
      </c>
      <c r="Q1279">
        <f t="shared" si="111"/>
        <v>104</v>
      </c>
      <c r="R1279">
        <f t="shared" si="111"/>
        <v>114</v>
      </c>
      <c r="S1279">
        <f t="shared" si="111"/>
        <v>97</v>
      </c>
      <c r="T1279">
        <f t="shared" si="111"/>
        <v>102</v>
      </c>
      <c r="U1279">
        <f t="shared" si="111"/>
        <v>46</v>
      </c>
      <c r="V1279">
        <f t="shared" si="111"/>
        <v>104</v>
      </c>
      <c r="W1279" s="5">
        <f t="shared" si="112"/>
        <v>844</v>
      </c>
      <c r="X1279" s="9" t="str">
        <f t="shared" si="113"/>
        <v>s844</v>
      </c>
    </row>
    <row r="1280" spans="1:24" x14ac:dyDescent="0.2">
      <c r="A1280" s="9" t="s">
        <v>425</v>
      </c>
      <c r="B1280" s="9">
        <v>3</v>
      </c>
      <c r="C1280" s="25">
        <v>11</v>
      </c>
      <c r="D1280" s="25"/>
      <c r="E1280" s="23">
        <v>45404</v>
      </c>
      <c r="F1280" s="23" t="s">
        <v>283</v>
      </c>
      <c r="G1280" s="25" t="s">
        <v>286</v>
      </c>
      <c r="H1280" s="24">
        <v>1</v>
      </c>
      <c r="I1280" s="25" t="s">
        <v>238</v>
      </c>
      <c r="J1280" s="32">
        <v>45352</v>
      </c>
      <c r="K1280" s="24">
        <v>0.85</v>
      </c>
      <c r="L1280" s="9">
        <f t="shared" si="114"/>
        <v>645</v>
      </c>
      <c r="M1280" s="4">
        <f>IF(Table3[[#This Row],[Afrondingsdatum YB]]="N/A","-",Table3[[#This Row],[Afrondingsdatum YB]]-Table3[[#This Row],[StartDatum]])</f>
        <v>45352</v>
      </c>
      <c r="N1280" s="4"/>
      <c r="O1280">
        <f t="shared" si="111"/>
        <v>66</v>
      </c>
      <c r="P1280">
        <f t="shared" si="111"/>
        <v>97</v>
      </c>
      <c r="Q1280">
        <f t="shared" si="111"/>
        <v>115</v>
      </c>
      <c r="R1280">
        <f t="shared" si="111"/>
        <v>46</v>
      </c>
      <c r="S1280">
        <f t="shared" si="111"/>
        <v>107</v>
      </c>
      <c r="T1280">
        <f t="shared" si="111"/>
        <v>105</v>
      </c>
      <c r="U1280">
        <f t="shared" si="111"/>
        <v>109</v>
      </c>
      <c r="V1280">
        <f t="shared" si="111"/>
        <v>109</v>
      </c>
      <c r="W1280" s="5">
        <f t="shared" si="112"/>
        <v>901</v>
      </c>
      <c r="X1280" s="9" t="str">
        <f t="shared" si="113"/>
        <v>a901</v>
      </c>
    </row>
    <row r="1281" spans="1:24" x14ac:dyDescent="0.2">
      <c r="A1281" s="9" t="s">
        <v>425</v>
      </c>
      <c r="B1281" s="9">
        <v>3</v>
      </c>
      <c r="C1281" s="25">
        <v>11</v>
      </c>
      <c r="D1281" s="25"/>
      <c r="E1281" s="23">
        <v>45404</v>
      </c>
      <c r="F1281" s="23" t="s">
        <v>283</v>
      </c>
      <c r="G1281" s="25" t="s">
        <v>353</v>
      </c>
      <c r="H1281" s="24">
        <v>1</v>
      </c>
      <c r="I1281" s="25" t="s">
        <v>356</v>
      </c>
      <c r="J1281" s="32">
        <v>45397</v>
      </c>
      <c r="K1281" s="24">
        <v>0.83</v>
      </c>
      <c r="L1281" s="9">
        <f t="shared" si="114"/>
        <v>690</v>
      </c>
      <c r="M1281" s="4">
        <f>IF(Table3[[#This Row],[Afrondingsdatum YB]]="N/A","-",Table3[[#This Row],[Afrondingsdatum YB]]-Table3[[#This Row],[StartDatum]])</f>
        <v>45397</v>
      </c>
      <c r="N1281" s="4"/>
      <c r="O1281">
        <f t="shared" si="111"/>
        <v>100</v>
      </c>
      <c r="P1281">
        <f t="shared" si="111"/>
        <v>97</v>
      </c>
      <c r="Q1281">
        <f t="shared" si="111"/>
        <v>109</v>
      </c>
      <c r="R1281">
        <f t="shared" si="111"/>
        <v>121</v>
      </c>
      <c r="S1281">
        <f t="shared" si="111"/>
        <v>46</v>
      </c>
      <c r="T1281">
        <f t="shared" si="111"/>
        <v>107</v>
      </c>
      <c r="U1281">
        <f t="shared" si="111"/>
        <v>110</v>
      </c>
      <c r="V1281">
        <f t="shared" si="111"/>
        <v>101</v>
      </c>
      <c r="W1281" s="5">
        <f t="shared" si="112"/>
        <v>870</v>
      </c>
      <c r="X1281" s="9" t="str">
        <f t="shared" si="113"/>
        <v>a870</v>
      </c>
    </row>
    <row r="1282" spans="1:24" x14ac:dyDescent="0.2">
      <c r="A1282" s="9" t="s">
        <v>425</v>
      </c>
      <c r="B1282" s="9">
        <v>3</v>
      </c>
      <c r="C1282" s="25">
        <v>11</v>
      </c>
      <c r="D1282" s="25"/>
      <c r="E1282" s="23">
        <v>45404</v>
      </c>
      <c r="F1282" s="23" t="s">
        <v>280</v>
      </c>
      <c r="G1282" s="25" t="s">
        <v>287</v>
      </c>
      <c r="H1282" s="24">
        <v>1</v>
      </c>
      <c r="I1282" s="25" t="s">
        <v>335</v>
      </c>
      <c r="J1282" s="32">
        <v>45383</v>
      </c>
      <c r="K1282" s="24">
        <v>0.9</v>
      </c>
      <c r="L1282" s="9">
        <f t="shared" si="114"/>
        <v>666</v>
      </c>
      <c r="M1282" s="4">
        <f>IF(Table3[[#This Row],[Afrondingsdatum YB]]="N/A","-",Table3[[#This Row],[Afrondingsdatum YB]]-Table3[[#This Row],[StartDatum]])</f>
        <v>45383</v>
      </c>
      <c r="N1282" s="4"/>
      <c r="O1282">
        <f t="shared" si="111"/>
        <v>100</v>
      </c>
      <c r="P1282">
        <f t="shared" si="111"/>
        <v>106</v>
      </c>
      <c r="Q1282">
        <f t="shared" si="111"/>
        <v>97</v>
      </c>
      <c r="R1282">
        <f t="shared" si="111"/>
        <v>98</v>
      </c>
      <c r="S1282">
        <f t="shared" si="111"/>
        <v>105</v>
      </c>
      <c r="T1282">
        <f t="shared" si="111"/>
        <v>114</v>
      </c>
      <c r="U1282">
        <f t="shared" si="111"/>
        <v>46</v>
      </c>
      <c r="V1282">
        <f t="shared" si="111"/>
        <v>104</v>
      </c>
      <c r="W1282" s="5">
        <f t="shared" si="112"/>
        <v>838</v>
      </c>
      <c r="X1282" s="9" t="str">
        <f t="shared" si="113"/>
        <v>j838</v>
      </c>
    </row>
    <row r="1283" spans="1:24" x14ac:dyDescent="0.2">
      <c r="A1283" s="9" t="s">
        <v>425</v>
      </c>
      <c r="B1283" s="9">
        <v>3</v>
      </c>
      <c r="C1283" s="25">
        <v>11</v>
      </c>
      <c r="D1283" s="25"/>
      <c r="E1283" s="23">
        <v>45404</v>
      </c>
      <c r="F1283" s="23" t="s">
        <v>283</v>
      </c>
      <c r="G1283" s="25" t="s">
        <v>343</v>
      </c>
      <c r="H1283" s="24">
        <v>1</v>
      </c>
      <c r="I1283" s="25" t="s">
        <v>350</v>
      </c>
      <c r="J1283" s="32">
        <v>45390</v>
      </c>
      <c r="K1283" s="24">
        <v>0.8</v>
      </c>
      <c r="L1283" s="9">
        <f t="shared" si="114"/>
        <v>639</v>
      </c>
      <c r="M1283" s="4">
        <f>IF(Table3[[#This Row],[Afrondingsdatum YB]]="N/A","-",Table3[[#This Row],[Afrondingsdatum YB]]-Table3[[#This Row],[StartDatum]])</f>
        <v>45390</v>
      </c>
      <c r="N1283" s="4"/>
      <c r="O1283">
        <f t="shared" si="111"/>
        <v>70</v>
      </c>
      <c r="P1283">
        <f t="shared" si="111"/>
        <v>97</v>
      </c>
      <c r="Q1283">
        <f t="shared" si="111"/>
        <v>116</v>
      </c>
      <c r="R1283">
        <f t="shared" si="111"/>
        <v>105</v>
      </c>
      <c r="S1283">
        <f t="shared" si="111"/>
        <v>109</v>
      </c>
      <c r="T1283">
        <f t="shared" si="111"/>
        <v>97</v>
      </c>
      <c r="U1283">
        <f t="shared" si="111"/>
        <v>45</v>
      </c>
      <c r="V1283">
        <f t="shared" si="111"/>
        <v>101</v>
      </c>
      <c r="W1283" s="5">
        <f t="shared" si="112"/>
        <v>845</v>
      </c>
      <c r="X1283" s="9" t="str">
        <f t="shared" si="113"/>
        <v>a845</v>
      </c>
    </row>
    <row r="1284" spans="1:24" x14ac:dyDescent="0.2">
      <c r="A1284" s="9" t="s">
        <v>425</v>
      </c>
      <c r="B1284" s="9">
        <v>3</v>
      </c>
      <c r="C1284" s="25">
        <v>11</v>
      </c>
      <c r="D1284" s="25"/>
      <c r="E1284" s="23">
        <v>45404</v>
      </c>
      <c r="F1284" s="23" t="s">
        <v>280</v>
      </c>
      <c r="G1284" s="25" t="s">
        <v>288</v>
      </c>
      <c r="H1284" s="24">
        <v>1</v>
      </c>
      <c r="I1284" s="25" t="s">
        <v>330</v>
      </c>
      <c r="J1284" s="32">
        <v>45373</v>
      </c>
      <c r="K1284" s="24">
        <v>0.8</v>
      </c>
      <c r="L1284" s="9">
        <f t="shared" si="114"/>
        <v>682</v>
      </c>
      <c r="M1284" s="4">
        <f>IF(Table3[[#This Row],[Afrondingsdatum YB]]="N/A","-",Table3[[#This Row],[Afrondingsdatum YB]]-Table3[[#This Row],[StartDatum]])</f>
        <v>45373</v>
      </c>
      <c r="N1284" s="4"/>
      <c r="O1284">
        <f t="shared" si="111"/>
        <v>103</v>
      </c>
      <c r="P1284">
        <f t="shared" si="111"/>
        <v>108</v>
      </c>
      <c r="Q1284">
        <f t="shared" si="111"/>
        <v>101</v>
      </c>
      <c r="R1284">
        <f t="shared" si="111"/>
        <v>110</v>
      </c>
      <c r="S1284">
        <f t="shared" si="111"/>
        <v>110</v>
      </c>
      <c r="T1284">
        <f t="shared" si="111"/>
        <v>46</v>
      </c>
      <c r="U1284">
        <f t="shared" si="111"/>
        <v>104</v>
      </c>
      <c r="V1284">
        <f t="shared" si="111"/>
        <v>101</v>
      </c>
      <c r="W1284" s="5">
        <f t="shared" si="112"/>
        <v>849</v>
      </c>
      <c r="X1284" s="9" t="str">
        <f t="shared" si="113"/>
        <v>l849</v>
      </c>
    </row>
    <row r="1285" spans="1:24" x14ac:dyDescent="0.2">
      <c r="A1285" s="9" t="s">
        <v>425</v>
      </c>
      <c r="B1285" s="9">
        <v>3</v>
      </c>
      <c r="C1285" s="25">
        <v>11</v>
      </c>
      <c r="D1285" s="25"/>
      <c r="E1285" s="23">
        <v>45404</v>
      </c>
      <c r="F1285" s="23" t="s">
        <v>283</v>
      </c>
      <c r="G1285" s="25" t="s">
        <v>289</v>
      </c>
      <c r="H1285" s="24">
        <v>1</v>
      </c>
      <c r="I1285" s="25" t="s">
        <v>342</v>
      </c>
      <c r="J1285" s="32">
        <v>45389</v>
      </c>
      <c r="K1285" s="24">
        <v>0.83</v>
      </c>
      <c r="L1285" s="9">
        <f t="shared" si="114"/>
        <v>675</v>
      </c>
      <c r="M1285" s="4">
        <f>IF(Table3[[#This Row],[Afrondingsdatum YB]]="N/A","-",Table3[[#This Row],[Afrondingsdatum YB]]-Table3[[#This Row],[StartDatum]])</f>
        <v>45389</v>
      </c>
      <c r="N1285" s="4"/>
      <c r="O1285">
        <f t="shared" si="111"/>
        <v>103</v>
      </c>
      <c r="P1285">
        <f t="shared" si="111"/>
        <v>114</v>
      </c>
      <c r="Q1285">
        <f t="shared" si="111"/>
        <v>97</v>
      </c>
      <c r="R1285">
        <f t="shared" si="111"/>
        <v>99</v>
      </c>
      <c r="S1285">
        <f t="shared" si="111"/>
        <v>101</v>
      </c>
      <c r="T1285">
        <f t="shared" si="111"/>
        <v>46</v>
      </c>
      <c r="U1285">
        <f t="shared" si="111"/>
        <v>115</v>
      </c>
      <c r="V1285">
        <f t="shared" si="111"/>
        <v>101</v>
      </c>
      <c r="W1285" s="5">
        <f t="shared" si="112"/>
        <v>839</v>
      </c>
      <c r="X1285" s="9" t="str">
        <f t="shared" si="113"/>
        <v>r839</v>
      </c>
    </row>
    <row r="1286" spans="1:24" x14ac:dyDescent="0.2">
      <c r="A1286" s="9" t="s">
        <v>425</v>
      </c>
      <c r="B1286" s="9">
        <v>3</v>
      </c>
      <c r="C1286" s="25">
        <v>11</v>
      </c>
      <c r="D1286" s="25"/>
      <c r="E1286" s="23">
        <v>45404</v>
      </c>
      <c r="F1286" s="23" t="s">
        <v>283</v>
      </c>
      <c r="G1286" s="25" t="s">
        <v>290</v>
      </c>
      <c r="H1286" s="24">
        <v>1</v>
      </c>
      <c r="I1286" s="25" t="s">
        <v>214</v>
      </c>
      <c r="J1286" s="32">
        <v>45358</v>
      </c>
      <c r="K1286" s="24">
        <v>0.78</v>
      </c>
      <c r="L1286" s="9">
        <f t="shared" si="114"/>
        <v>677</v>
      </c>
      <c r="M1286" s="4">
        <f>IF(Table3[[#This Row],[Afrondingsdatum YB]]="N/A","-",Table3[[#This Row],[Afrondingsdatum YB]]-Table3[[#This Row],[StartDatum]])</f>
        <v>45358</v>
      </c>
      <c r="N1286" s="4"/>
      <c r="O1286">
        <f t="shared" si="111"/>
        <v>105</v>
      </c>
      <c r="P1286">
        <f t="shared" si="111"/>
        <v>108</v>
      </c>
      <c r="Q1286">
        <f t="shared" si="111"/>
        <v>105</v>
      </c>
      <c r="R1286">
        <f t="shared" si="111"/>
        <v>97</v>
      </c>
      <c r="S1286">
        <f t="shared" si="111"/>
        <v>115</v>
      </c>
      <c r="T1286">
        <f t="shared" si="111"/>
        <v>46</v>
      </c>
      <c r="U1286">
        <f t="shared" si="111"/>
        <v>101</v>
      </c>
      <c r="V1286">
        <f t="shared" si="111"/>
        <v>108</v>
      </c>
      <c r="W1286" s="5">
        <f t="shared" si="112"/>
        <v>868</v>
      </c>
      <c r="X1286" s="9" t="str">
        <f t="shared" si="113"/>
        <v>l868</v>
      </c>
    </row>
    <row r="1287" spans="1:24" x14ac:dyDescent="0.2">
      <c r="A1287" s="9" t="s">
        <v>425</v>
      </c>
      <c r="B1287" s="9">
        <v>3</v>
      </c>
      <c r="C1287" s="25">
        <v>11</v>
      </c>
      <c r="D1287" s="25"/>
      <c r="E1287" s="23">
        <v>45404</v>
      </c>
      <c r="F1287" s="23" t="s">
        <v>283</v>
      </c>
      <c r="G1287" s="25" t="s">
        <v>291</v>
      </c>
      <c r="H1287" s="24">
        <v>1</v>
      </c>
      <c r="I1287" s="25" t="s">
        <v>184</v>
      </c>
      <c r="J1287" s="32">
        <v>45389</v>
      </c>
      <c r="K1287" s="24">
        <v>0.83</v>
      </c>
      <c r="L1287" s="9">
        <f t="shared" si="114"/>
        <v>638</v>
      </c>
      <c r="M1287" s="4">
        <f>IF(Table3[[#This Row],[Afrondingsdatum YB]]="N/A","-",Table3[[#This Row],[Afrondingsdatum YB]]-Table3[[#This Row],[StartDatum]])</f>
        <v>45389</v>
      </c>
      <c r="N1287" s="4"/>
      <c r="O1287">
        <f t="shared" si="111"/>
        <v>73</v>
      </c>
      <c r="P1287">
        <f t="shared" si="111"/>
        <v>115</v>
      </c>
      <c r="Q1287">
        <f t="shared" si="111"/>
        <v>97</v>
      </c>
      <c r="R1287">
        <f t="shared" si="111"/>
        <v>98</v>
      </c>
      <c r="S1287">
        <f t="shared" si="111"/>
        <v>101</v>
      </c>
      <c r="T1287">
        <f t="shared" si="111"/>
        <v>108</v>
      </c>
      <c r="U1287">
        <f t="shared" si="111"/>
        <v>46</v>
      </c>
      <c r="V1287">
        <f t="shared" si="111"/>
        <v>109</v>
      </c>
      <c r="W1287" s="5">
        <f t="shared" si="112"/>
        <v>810</v>
      </c>
      <c r="X1287" s="9" t="str">
        <f t="shared" si="113"/>
        <v>s810</v>
      </c>
    </row>
    <row r="1288" spans="1:24" x14ac:dyDescent="0.2">
      <c r="A1288" s="9" t="s">
        <v>425</v>
      </c>
      <c r="B1288" s="9">
        <v>3</v>
      </c>
      <c r="C1288" s="25">
        <v>11</v>
      </c>
      <c r="D1288" s="25"/>
      <c r="E1288" s="23">
        <v>45404</v>
      </c>
      <c r="F1288" s="23" t="s">
        <v>280</v>
      </c>
      <c r="G1288" s="25" t="s">
        <v>292</v>
      </c>
      <c r="H1288" s="24">
        <v>0.98</v>
      </c>
      <c r="I1288" s="25" t="s">
        <v>264</v>
      </c>
      <c r="J1288" s="32" t="s">
        <v>7</v>
      </c>
      <c r="K1288" s="24" t="s">
        <v>9</v>
      </c>
      <c r="L1288" s="9">
        <f t="shared" si="114"/>
        <v>673</v>
      </c>
      <c r="M1288" s="4" t="str">
        <f>IF(Table3[[#This Row],[Afrondingsdatum YB]]="N/A","-",Table3[[#This Row],[Afrondingsdatum YB]]-Table3[[#This Row],[StartDatum]])</f>
        <v>-</v>
      </c>
      <c r="N1288" s="4"/>
      <c r="O1288">
        <f t="shared" si="111"/>
        <v>106</v>
      </c>
      <c r="P1288">
        <f t="shared" si="111"/>
        <v>97</v>
      </c>
      <c r="Q1288">
        <f t="shared" si="111"/>
        <v>105</v>
      </c>
      <c r="R1288">
        <f t="shared" si="111"/>
        <v>114</v>
      </c>
      <c r="S1288">
        <f t="shared" si="111"/>
        <v>46</v>
      </c>
      <c r="T1288">
        <f t="shared" si="111"/>
        <v>104</v>
      </c>
      <c r="U1288">
        <f t="shared" si="111"/>
        <v>101</v>
      </c>
      <c r="V1288">
        <f t="shared" si="111"/>
        <v>107</v>
      </c>
      <c r="W1288" s="5">
        <f t="shared" si="112"/>
        <v>856</v>
      </c>
      <c r="X1288" s="9" t="str">
        <f t="shared" si="113"/>
        <v>a856</v>
      </c>
    </row>
    <row r="1289" spans="1:24" x14ac:dyDescent="0.2">
      <c r="A1289" s="9" t="s">
        <v>425</v>
      </c>
      <c r="B1289" s="9">
        <v>3</v>
      </c>
      <c r="C1289" s="25">
        <v>11</v>
      </c>
      <c r="D1289" s="25"/>
      <c r="E1289" s="23">
        <v>45404</v>
      </c>
      <c r="F1289" s="23" t="s">
        <v>283</v>
      </c>
      <c r="G1289" s="25" t="s">
        <v>293</v>
      </c>
      <c r="H1289" s="24">
        <v>1</v>
      </c>
      <c r="I1289" s="25" t="s">
        <v>314</v>
      </c>
      <c r="J1289" s="32">
        <v>45382</v>
      </c>
      <c r="K1289" s="24">
        <v>0.85</v>
      </c>
      <c r="L1289" s="9">
        <f t="shared" si="114"/>
        <v>692</v>
      </c>
      <c r="M1289" s="4">
        <f>IF(Table3[[#This Row],[Afrondingsdatum YB]]="N/A","-",Table3[[#This Row],[Afrondingsdatum YB]]-Table3[[#This Row],[StartDatum]])</f>
        <v>45382</v>
      </c>
      <c r="N1289" s="4"/>
      <c r="O1289">
        <f t="shared" si="111"/>
        <v>106</v>
      </c>
      <c r="P1289">
        <f t="shared" si="111"/>
        <v>101</v>
      </c>
      <c r="Q1289">
        <f t="shared" si="111"/>
        <v>115</v>
      </c>
      <c r="R1289">
        <f t="shared" si="111"/>
        <v>115</v>
      </c>
      <c r="S1289">
        <f t="shared" si="111"/>
        <v>101</v>
      </c>
      <c r="T1289">
        <f t="shared" si="111"/>
        <v>46</v>
      </c>
      <c r="U1289">
        <f t="shared" si="111"/>
        <v>108</v>
      </c>
      <c r="V1289">
        <f t="shared" ref="P1289:V1300" si="115">CODE(MID($G1289,V$1,1))</f>
        <v>101</v>
      </c>
      <c r="W1289" s="5">
        <f t="shared" si="112"/>
        <v>886</v>
      </c>
      <c r="X1289" s="9" t="str">
        <f t="shared" si="113"/>
        <v>e886</v>
      </c>
    </row>
    <row r="1290" spans="1:24" x14ac:dyDescent="0.2">
      <c r="A1290" s="9" t="s">
        <v>425</v>
      </c>
      <c r="B1290" s="9">
        <v>3</v>
      </c>
      <c r="C1290" s="25">
        <v>11</v>
      </c>
      <c r="D1290" s="25"/>
      <c r="E1290" s="23">
        <v>45404</v>
      </c>
      <c r="F1290" s="23" t="s">
        <v>283</v>
      </c>
      <c r="G1290" s="25" t="s">
        <v>294</v>
      </c>
      <c r="H1290" s="24">
        <v>0.13</v>
      </c>
      <c r="I1290" s="25" t="s">
        <v>107</v>
      </c>
      <c r="J1290" s="32" t="s">
        <v>7</v>
      </c>
      <c r="K1290" s="24" t="s">
        <v>9</v>
      </c>
      <c r="L1290" s="9">
        <f t="shared" si="114"/>
        <v>681</v>
      </c>
      <c r="M1290" s="4" t="str">
        <f>IF(Table3[[#This Row],[Afrondingsdatum YB]]="N/A","-",Table3[[#This Row],[Afrondingsdatum YB]]-Table3[[#This Row],[StartDatum]])</f>
        <v>-</v>
      </c>
      <c r="N1290" s="4"/>
      <c r="O1290">
        <f t="shared" ref="O1290:V1331" si="116">CODE(MID($G1290,O$1,1))</f>
        <v>106</v>
      </c>
      <c r="P1290">
        <f t="shared" si="115"/>
        <v>111</v>
      </c>
      <c r="Q1290">
        <f t="shared" si="115"/>
        <v>114</v>
      </c>
      <c r="R1290">
        <f t="shared" si="115"/>
        <v>100</v>
      </c>
      <c r="S1290">
        <f t="shared" si="115"/>
        <v>46</v>
      </c>
      <c r="T1290">
        <f t="shared" si="115"/>
        <v>107</v>
      </c>
      <c r="U1290">
        <f t="shared" si="115"/>
        <v>97</v>
      </c>
      <c r="V1290">
        <f t="shared" si="115"/>
        <v>114</v>
      </c>
      <c r="W1290" s="5">
        <f t="shared" si="112"/>
        <v>893</v>
      </c>
      <c r="X1290" s="9" t="str">
        <f t="shared" si="113"/>
        <v>o893</v>
      </c>
    </row>
    <row r="1291" spans="1:24" x14ac:dyDescent="0.2">
      <c r="A1291" s="9" t="s">
        <v>425</v>
      </c>
      <c r="B1291" s="9">
        <v>3</v>
      </c>
      <c r="C1291" s="25">
        <v>11</v>
      </c>
      <c r="D1291" s="25"/>
      <c r="E1291" s="23">
        <v>45404</v>
      </c>
      <c r="F1291" s="23" t="s">
        <v>280</v>
      </c>
      <c r="G1291" s="25" t="s">
        <v>295</v>
      </c>
      <c r="H1291" s="24">
        <v>1</v>
      </c>
      <c r="I1291" s="25" t="s">
        <v>342</v>
      </c>
      <c r="J1291" s="32">
        <v>45378</v>
      </c>
      <c r="K1291" s="24">
        <v>0.75</v>
      </c>
      <c r="L1291" s="9">
        <f t="shared" si="114"/>
        <v>691</v>
      </c>
      <c r="M1291" s="4">
        <f>IF(Table3[[#This Row],[Afrondingsdatum YB]]="N/A","-",Table3[[#This Row],[Afrondingsdatum YB]]-Table3[[#This Row],[StartDatum]])</f>
        <v>45378</v>
      </c>
      <c r="N1291" s="4"/>
      <c r="O1291">
        <f t="shared" si="116"/>
        <v>106</v>
      </c>
      <c r="P1291">
        <f t="shared" si="115"/>
        <v>111</v>
      </c>
      <c r="Q1291">
        <f t="shared" si="115"/>
        <v>121</v>
      </c>
      <c r="R1291">
        <f t="shared" si="115"/>
        <v>99</v>
      </c>
      <c r="S1291">
        <f t="shared" si="115"/>
        <v>101</v>
      </c>
      <c r="T1291">
        <f t="shared" si="115"/>
        <v>46</v>
      </c>
      <c r="U1291">
        <f t="shared" si="115"/>
        <v>107</v>
      </c>
      <c r="V1291">
        <f t="shared" si="115"/>
        <v>111</v>
      </c>
      <c r="W1291" s="5">
        <f t="shared" si="112"/>
        <v>914</v>
      </c>
      <c r="X1291" s="9" t="str">
        <f t="shared" si="113"/>
        <v>o914</v>
      </c>
    </row>
    <row r="1292" spans="1:24" x14ac:dyDescent="0.2">
      <c r="A1292" s="9" t="s">
        <v>425</v>
      </c>
      <c r="B1292" s="9">
        <v>3</v>
      </c>
      <c r="C1292" s="25">
        <v>11</v>
      </c>
      <c r="D1292" s="25"/>
      <c r="E1292" s="23">
        <v>45404</v>
      </c>
      <c r="F1292" s="23" t="s">
        <v>283</v>
      </c>
      <c r="G1292" s="25" t="s">
        <v>296</v>
      </c>
      <c r="H1292" s="24">
        <v>1</v>
      </c>
      <c r="I1292" s="25" t="s">
        <v>143</v>
      </c>
      <c r="J1292" s="32">
        <v>45391</v>
      </c>
      <c r="K1292" s="24">
        <v>0.78</v>
      </c>
      <c r="L1292" s="9">
        <f t="shared" si="114"/>
        <v>689</v>
      </c>
      <c r="M1292" s="4">
        <f>IF(Table3[[#This Row],[Afrondingsdatum YB]]="N/A","-",Table3[[#This Row],[Afrondingsdatum YB]]-Table3[[#This Row],[StartDatum]])</f>
        <v>45391</v>
      </c>
      <c r="N1292" s="4"/>
      <c r="O1292">
        <f t="shared" si="116"/>
        <v>106</v>
      </c>
      <c r="P1292">
        <f t="shared" si="115"/>
        <v>117</v>
      </c>
      <c r="Q1292">
        <f t="shared" si="115"/>
        <v>108</v>
      </c>
      <c r="R1292">
        <f t="shared" si="115"/>
        <v>105</v>
      </c>
      <c r="S1292">
        <f t="shared" si="115"/>
        <v>97</v>
      </c>
      <c r="T1292">
        <f t="shared" si="115"/>
        <v>110</v>
      </c>
      <c r="U1292">
        <f t="shared" si="115"/>
        <v>46</v>
      </c>
      <c r="V1292">
        <f t="shared" si="115"/>
        <v>109</v>
      </c>
      <c r="W1292" s="5">
        <f t="shared" si="112"/>
        <v>877</v>
      </c>
      <c r="X1292" s="9" t="str">
        <f t="shared" si="113"/>
        <v>u877</v>
      </c>
    </row>
    <row r="1293" spans="1:24" x14ac:dyDescent="0.2">
      <c r="A1293" s="9" t="s">
        <v>425</v>
      </c>
      <c r="B1293" s="9">
        <v>3</v>
      </c>
      <c r="C1293" s="25">
        <v>11</v>
      </c>
      <c r="D1293" s="25"/>
      <c r="E1293" s="23">
        <v>45404</v>
      </c>
      <c r="F1293" s="23" t="s">
        <v>283</v>
      </c>
      <c r="G1293" s="25" t="s">
        <v>297</v>
      </c>
      <c r="H1293" s="24">
        <v>1</v>
      </c>
      <c r="I1293" s="25" t="s">
        <v>77</v>
      </c>
      <c r="J1293" s="32">
        <v>45396</v>
      </c>
      <c r="K1293" s="24">
        <v>0.83</v>
      </c>
      <c r="L1293" s="9">
        <f t="shared" si="114"/>
        <v>698</v>
      </c>
      <c r="M1293" s="4">
        <f>IF(Table3[[#This Row],[Afrondingsdatum YB]]="N/A","-",Table3[[#This Row],[Afrondingsdatum YB]]-Table3[[#This Row],[StartDatum]])</f>
        <v>45396</v>
      </c>
      <c r="N1293" s="4"/>
      <c r="O1293">
        <f t="shared" si="116"/>
        <v>106</v>
      </c>
      <c r="P1293">
        <f t="shared" si="115"/>
        <v>117</v>
      </c>
      <c r="Q1293">
        <f t="shared" si="115"/>
        <v>114</v>
      </c>
      <c r="R1293">
        <f t="shared" si="115"/>
        <v>114</v>
      </c>
      <c r="S1293">
        <f t="shared" si="115"/>
        <v>101</v>
      </c>
      <c r="T1293">
        <f t="shared" si="115"/>
        <v>46</v>
      </c>
      <c r="U1293">
        <f t="shared" si="115"/>
        <v>100</v>
      </c>
      <c r="V1293">
        <f t="shared" si="115"/>
        <v>101</v>
      </c>
      <c r="W1293" s="5">
        <f t="shared" si="112"/>
        <v>883</v>
      </c>
      <c r="X1293" s="9" t="str">
        <f t="shared" si="113"/>
        <v>u883</v>
      </c>
    </row>
    <row r="1294" spans="1:24" x14ac:dyDescent="0.2">
      <c r="A1294" s="9" t="s">
        <v>425</v>
      </c>
      <c r="B1294" s="9">
        <v>3</v>
      </c>
      <c r="C1294" s="25">
        <v>11</v>
      </c>
      <c r="D1294" s="25"/>
      <c r="E1294" s="23">
        <v>45404</v>
      </c>
      <c r="F1294" s="23" t="s">
        <v>280</v>
      </c>
      <c r="G1294" s="25" t="s">
        <v>298</v>
      </c>
      <c r="H1294" s="24">
        <v>0.02</v>
      </c>
      <c r="I1294" s="25" t="s">
        <v>326</v>
      </c>
      <c r="J1294" s="32" t="s">
        <v>7</v>
      </c>
      <c r="K1294" s="24" t="s">
        <v>9</v>
      </c>
      <c r="L1294" s="9">
        <f t="shared" si="114"/>
        <v>685</v>
      </c>
      <c r="M1294" s="4" t="str">
        <f>IF(Table3[[#This Row],[Afrondingsdatum YB]]="N/A","-",Table3[[#This Row],[Afrondingsdatum YB]]-Table3[[#This Row],[StartDatum]])</f>
        <v>-</v>
      </c>
      <c r="N1294" s="4"/>
      <c r="O1294">
        <f t="shared" si="116"/>
        <v>75</v>
      </c>
      <c r="P1294">
        <f t="shared" si="115"/>
        <v>121</v>
      </c>
      <c r="Q1294">
        <f t="shared" si="115"/>
        <v>114</v>
      </c>
      <c r="R1294">
        <f t="shared" si="115"/>
        <v>111</v>
      </c>
      <c r="S1294">
        <f t="shared" si="115"/>
        <v>110</v>
      </c>
      <c r="T1294">
        <f t="shared" si="115"/>
        <v>46</v>
      </c>
      <c r="U1294">
        <f t="shared" si="115"/>
        <v>108</v>
      </c>
      <c r="V1294">
        <f t="shared" si="115"/>
        <v>101</v>
      </c>
      <c r="W1294" s="5">
        <f t="shared" si="112"/>
        <v>870</v>
      </c>
      <c r="X1294" s="9" t="str">
        <f t="shared" si="113"/>
        <v>y870</v>
      </c>
    </row>
    <row r="1295" spans="1:24" x14ac:dyDescent="0.2">
      <c r="A1295" s="9" t="s">
        <v>425</v>
      </c>
      <c r="B1295" s="9">
        <v>3</v>
      </c>
      <c r="C1295" s="25">
        <v>11</v>
      </c>
      <c r="D1295" s="25"/>
      <c r="E1295" s="23">
        <v>45404</v>
      </c>
      <c r="F1295" s="23" t="s">
        <v>280</v>
      </c>
      <c r="G1295" s="25" t="s">
        <v>300</v>
      </c>
      <c r="H1295" s="24">
        <v>0.14000000000000001</v>
      </c>
      <c r="I1295" s="25" t="s">
        <v>184</v>
      </c>
      <c r="J1295" s="32" t="s">
        <v>7</v>
      </c>
      <c r="K1295" s="24" t="s">
        <v>9</v>
      </c>
      <c r="L1295" s="9">
        <f t="shared" si="114"/>
        <v>761</v>
      </c>
      <c r="M1295" s="4" t="str">
        <f>IF(Table3[[#This Row],[Afrondingsdatum YB]]="N/A","-",Table3[[#This Row],[Afrondingsdatum YB]]-Table3[[#This Row],[StartDatum]])</f>
        <v>-</v>
      </c>
      <c r="N1295" s="4"/>
      <c r="O1295">
        <f t="shared" si="116"/>
        <v>108</v>
      </c>
      <c r="P1295">
        <f t="shared" si="115"/>
        <v>117</v>
      </c>
      <c r="Q1295">
        <f t="shared" si="115"/>
        <v>99</v>
      </c>
      <c r="R1295">
        <f t="shared" si="115"/>
        <v>105</v>
      </c>
      <c r="S1295">
        <f t="shared" si="115"/>
        <v>97</v>
      </c>
      <c r="T1295">
        <f t="shared" si="115"/>
        <v>121</v>
      </c>
      <c r="U1295">
        <f t="shared" si="115"/>
        <v>114</v>
      </c>
      <c r="V1295">
        <f t="shared" si="115"/>
        <v>111</v>
      </c>
      <c r="W1295" s="5">
        <f t="shared" si="112"/>
        <v>933</v>
      </c>
      <c r="X1295" s="9" t="str">
        <f t="shared" si="113"/>
        <v>u933</v>
      </c>
    </row>
    <row r="1296" spans="1:24" x14ac:dyDescent="0.2">
      <c r="A1296" s="9" t="s">
        <v>425</v>
      </c>
      <c r="B1296" s="9">
        <v>3</v>
      </c>
      <c r="C1296" s="25">
        <v>11</v>
      </c>
      <c r="D1296" s="25"/>
      <c r="E1296" s="23">
        <v>45404</v>
      </c>
      <c r="F1296" s="23" t="s">
        <v>283</v>
      </c>
      <c r="G1296" s="25" t="s">
        <v>301</v>
      </c>
      <c r="H1296" s="24">
        <v>1</v>
      </c>
      <c r="I1296" s="25" t="s">
        <v>345</v>
      </c>
      <c r="J1296" s="32">
        <v>45380</v>
      </c>
      <c r="K1296" s="24">
        <v>0.78</v>
      </c>
      <c r="L1296" s="9">
        <f t="shared" si="114"/>
        <v>762</v>
      </c>
      <c r="M1296" s="4">
        <f>IF(Table3[[#This Row],[Afrondingsdatum YB]]="N/A","-",Table3[[#This Row],[Afrondingsdatum YB]]-Table3[[#This Row],[StartDatum]])</f>
        <v>45380</v>
      </c>
      <c r="N1296" s="4"/>
      <c r="O1296">
        <f t="shared" si="116"/>
        <v>108</v>
      </c>
      <c r="P1296">
        <f t="shared" si="115"/>
        <v>121</v>
      </c>
      <c r="Q1296">
        <f t="shared" si="115"/>
        <v>115</v>
      </c>
      <c r="R1296">
        <f t="shared" si="115"/>
        <v>97</v>
      </c>
      <c r="S1296">
        <f t="shared" si="115"/>
        <v>110</v>
      </c>
      <c r="T1296">
        <f t="shared" si="115"/>
        <v>110</v>
      </c>
      <c r="U1296">
        <f t="shared" si="115"/>
        <v>101</v>
      </c>
      <c r="V1296">
        <f t="shared" si="115"/>
        <v>46</v>
      </c>
      <c r="W1296" s="5">
        <f t="shared" si="112"/>
        <v>905</v>
      </c>
      <c r="X1296" s="9" t="str">
        <f t="shared" si="113"/>
        <v>y905</v>
      </c>
    </row>
    <row r="1297" spans="1:24" x14ac:dyDescent="0.2">
      <c r="A1297" s="9" t="s">
        <v>425</v>
      </c>
      <c r="B1297" s="9">
        <v>3</v>
      </c>
      <c r="C1297" s="25">
        <v>11</v>
      </c>
      <c r="D1297" s="25"/>
      <c r="E1297" s="23">
        <v>45404</v>
      </c>
      <c r="F1297" s="23" t="s">
        <v>283</v>
      </c>
      <c r="G1297" s="25" t="s">
        <v>302</v>
      </c>
      <c r="H1297" s="24">
        <v>1</v>
      </c>
      <c r="I1297" s="25" t="s">
        <v>207</v>
      </c>
      <c r="J1297" s="32">
        <v>45348</v>
      </c>
      <c r="K1297" s="24">
        <v>0.95</v>
      </c>
      <c r="L1297" s="9">
        <f t="shared" si="114"/>
        <v>697</v>
      </c>
      <c r="M1297" s="4">
        <f>IF(Table3[[#This Row],[Afrondingsdatum YB]]="N/A","-",Table3[[#This Row],[Afrondingsdatum YB]]-Table3[[#This Row],[StartDatum]])</f>
        <v>45348</v>
      </c>
      <c r="N1297" s="4"/>
      <c r="O1297">
        <f t="shared" si="116"/>
        <v>109</v>
      </c>
      <c r="P1297">
        <f t="shared" si="115"/>
        <v>101</v>
      </c>
      <c r="Q1297">
        <f t="shared" si="115"/>
        <v>108</v>
      </c>
      <c r="R1297">
        <f t="shared" si="115"/>
        <v>118</v>
      </c>
      <c r="S1297">
        <f t="shared" si="115"/>
        <v>105</v>
      </c>
      <c r="T1297">
        <f t="shared" si="115"/>
        <v>110</v>
      </c>
      <c r="U1297">
        <f t="shared" si="115"/>
        <v>46</v>
      </c>
      <c r="V1297">
        <f t="shared" si="115"/>
        <v>98</v>
      </c>
      <c r="W1297" s="5">
        <f t="shared" si="112"/>
        <v>872</v>
      </c>
      <c r="X1297" s="9" t="str">
        <f t="shared" si="113"/>
        <v>e872</v>
      </c>
    </row>
    <row r="1298" spans="1:24" x14ac:dyDescent="0.2">
      <c r="A1298" s="9" t="s">
        <v>425</v>
      </c>
      <c r="B1298" s="9">
        <v>3</v>
      </c>
      <c r="C1298" s="25">
        <v>11</v>
      </c>
      <c r="D1298" s="25"/>
      <c r="E1298" s="23">
        <v>45404</v>
      </c>
      <c r="F1298" s="23" t="s">
        <v>280</v>
      </c>
      <c r="G1298" s="25" t="s">
        <v>339</v>
      </c>
      <c r="H1298" s="24">
        <v>0</v>
      </c>
      <c r="I1298" s="25" t="s">
        <v>8</v>
      </c>
      <c r="J1298" s="32" t="s">
        <v>7</v>
      </c>
      <c r="K1298" s="24" t="s">
        <v>9</v>
      </c>
      <c r="L1298" s="9">
        <f t="shared" si="114"/>
        <v>731</v>
      </c>
      <c r="M1298" s="4" t="str">
        <f>IF(Table3[[#This Row],[Afrondingsdatum YB]]="N/A","-",Table3[[#This Row],[Afrondingsdatum YB]]-Table3[[#This Row],[StartDatum]])</f>
        <v>-</v>
      </c>
      <c r="N1298" s="4"/>
      <c r="O1298">
        <f t="shared" si="116"/>
        <v>109</v>
      </c>
      <c r="P1298">
        <f t="shared" si="115"/>
        <v>111</v>
      </c>
      <c r="Q1298">
        <f t="shared" si="115"/>
        <v>104</v>
      </c>
      <c r="R1298">
        <f t="shared" si="115"/>
        <v>97</v>
      </c>
      <c r="S1298">
        <f t="shared" si="115"/>
        <v>109</v>
      </c>
      <c r="T1298">
        <f t="shared" si="115"/>
        <v>101</v>
      </c>
      <c r="U1298">
        <f t="shared" si="115"/>
        <v>100</v>
      </c>
      <c r="V1298">
        <f t="shared" si="115"/>
        <v>46</v>
      </c>
      <c r="W1298" s="5">
        <f t="shared" si="112"/>
        <v>857</v>
      </c>
      <c r="X1298" s="9" t="str">
        <f t="shared" si="113"/>
        <v>o857</v>
      </c>
    </row>
    <row r="1299" spans="1:24" x14ac:dyDescent="0.2">
      <c r="A1299" s="9" t="s">
        <v>425</v>
      </c>
      <c r="B1299" s="9">
        <v>3</v>
      </c>
      <c r="C1299" s="25">
        <v>11</v>
      </c>
      <c r="D1299" s="25"/>
      <c r="E1299" s="23">
        <v>45404</v>
      </c>
      <c r="F1299" s="23" t="s">
        <v>283</v>
      </c>
      <c r="G1299" s="25" t="s">
        <v>303</v>
      </c>
      <c r="H1299" s="24">
        <v>1</v>
      </c>
      <c r="I1299" s="25" t="s">
        <v>185</v>
      </c>
      <c r="J1299" s="32">
        <v>45383</v>
      </c>
      <c r="K1299" s="24">
        <v>0.75</v>
      </c>
      <c r="L1299" s="9">
        <f t="shared" si="114"/>
        <v>691</v>
      </c>
      <c r="M1299" s="4">
        <f>IF(Table3[[#This Row],[Afrondingsdatum YB]]="N/A","-",Table3[[#This Row],[Afrondingsdatum YB]]-Table3[[#This Row],[StartDatum]])</f>
        <v>45383</v>
      </c>
      <c r="N1299" s="4"/>
      <c r="O1299">
        <f t="shared" si="116"/>
        <v>109</v>
      </c>
      <c r="P1299">
        <f t="shared" si="115"/>
        <v>111</v>
      </c>
      <c r="Q1299">
        <f t="shared" si="115"/>
        <v>104</v>
      </c>
      <c r="R1299">
        <f t="shared" si="115"/>
        <v>105</v>
      </c>
      <c r="S1299">
        <f t="shared" si="115"/>
        <v>116</v>
      </c>
      <c r="T1299">
        <f t="shared" si="115"/>
        <v>46</v>
      </c>
      <c r="U1299">
        <f t="shared" si="115"/>
        <v>100</v>
      </c>
      <c r="V1299">
        <f t="shared" si="115"/>
        <v>97</v>
      </c>
      <c r="W1299" s="5">
        <f t="shared" si="112"/>
        <v>862</v>
      </c>
      <c r="X1299" s="9" t="str">
        <f t="shared" si="113"/>
        <v>o862</v>
      </c>
    </row>
    <row r="1300" spans="1:24" x14ac:dyDescent="0.2">
      <c r="A1300" s="9" t="s">
        <v>425</v>
      </c>
      <c r="B1300" s="9">
        <v>3</v>
      </c>
      <c r="C1300" s="25">
        <v>11</v>
      </c>
      <c r="D1300" s="25"/>
      <c r="E1300" s="23">
        <v>45404</v>
      </c>
      <c r="F1300" s="23" t="s">
        <v>280</v>
      </c>
      <c r="G1300" s="25" t="s">
        <v>304</v>
      </c>
      <c r="H1300" s="24">
        <v>0.22</v>
      </c>
      <c r="I1300" s="25" t="s">
        <v>328</v>
      </c>
      <c r="J1300" s="32" t="s">
        <v>7</v>
      </c>
      <c r="K1300" s="24" t="s">
        <v>9</v>
      </c>
      <c r="L1300" s="9">
        <f t="shared" si="114"/>
        <v>706</v>
      </c>
      <c r="M1300" s="4" t="str">
        <f>IF(Table3[[#This Row],[Afrondingsdatum YB]]="N/A","-",Table3[[#This Row],[Afrondingsdatum YB]]-Table3[[#This Row],[StartDatum]])</f>
        <v>-</v>
      </c>
      <c r="N1300" s="4"/>
      <c r="O1300">
        <f t="shared" si="116"/>
        <v>109</v>
      </c>
      <c r="P1300">
        <f t="shared" si="115"/>
        <v>111</v>
      </c>
      <c r="Q1300">
        <f t="shared" si="115"/>
        <v>108</v>
      </c>
      <c r="R1300">
        <f t="shared" si="115"/>
        <v>105</v>
      </c>
      <c r="S1300">
        <f t="shared" si="115"/>
        <v>116</v>
      </c>
      <c r="T1300">
        <f t="shared" si="115"/>
        <v>111</v>
      </c>
      <c r="U1300">
        <f t="shared" si="115"/>
        <v>46</v>
      </c>
      <c r="V1300">
        <f t="shared" si="115"/>
        <v>102</v>
      </c>
      <c r="W1300" s="5">
        <f t="shared" si="112"/>
        <v>890</v>
      </c>
      <c r="X1300" s="9" t="str">
        <f t="shared" si="113"/>
        <v>o890</v>
      </c>
    </row>
    <row r="1301" spans="1:24" x14ac:dyDescent="0.2">
      <c r="A1301" s="9" t="s">
        <v>425</v>
      </c>
      <c r="B1301" s="9">
        <v>3</v>
      </c>
      <c r="C1301" s="25">
        <v>11</v>
      </c>
      <c r="D1301" s="25"/>
      <c r="E1301" s="23">
        <v>45404</v>
      </c>
      <c r="F1301" s="23" t="s">
        <v>283</v>
      </c>
      <c r="G1301" s="25" t="s">
        <v>305</v>
      </c>
      <c r="H1301" s="24">
        <v>1</v>
      </c>
      <c r="I1301" s="25" t="s">
        <v>346</v>
      </c>
      <c r="J1301" s="32">
        <v>45377</v>
      </c>
      <c r="K1301" s="24">
        <v>0.83</v>
      </c>
      <c r="L1301" s="9">
        <f t="shared" si="114"/>
        <v>726</v>
      </c>
      <c r="M1301" s="4">
        <f>IF(Table3[[#This Row],[Afrondingsdatum YB]]="N/A","-",Table3[[#This Row],[Afrondingsdatum YB]]-Table3[[#This Row],[StartDatum]])</f>
        <v>45377</v>
      </c>
      <c r="N1301" s="4"/>
      <c r="O1301">
        <f t="shared" si="116"/>
        <v>77</v>
      </c>
      <c r="P1301">
        <f t="shared" si="116"/>
        <v>117</v>
      </c>
      <c r="Q1301">
        <f t="shared" si="116"/>
        <v>100</v>
      </c>
      <c r="R1301">
        <f t="shared" si="116"/>
        <v>97</v>
      </c>
      <c r="S1301">
        <f t="shared" si="116"/>
        <v>115</v>
      </c>
      <c r="T1301">
        <f t="shared" si="116"/>
        <v>115</v>
      </c>
      <c r="U1301">
        <f t="shared" si="116"/>
        <v>105</v>
      </c>
      <c r="V1301">
        <f t="shared" si="116"/>
        <v>114</v>
      </c>
      <c r="W1301" s="5">
        <f t="shared" si="112"/>
        <v>909</v>
      </c>
      <c r="X1301" s="9" t="str">
        <f t="shared" si="113"/>
        <v>u909</v>
      </c>
    </row>
    <row r="1302" spans="1:24" x14ac:dyDescent="0.2">
      <c r="A1302" s="9" t="s">
        <v>425</v>
      </c>
      <c r="B1302" s="9">
        <v>3</v>
      </c>
      <c r="C1302" s="25">
        <v>11</v>
      </c>
      <c r="D1302" s="25"/>
      <c r="E1302" s="23">
        <v>45404</v>
      </c>
      <c r="F1302" s="23" t="s">
        <v>280</v>
      </c>
      <c r="G1302" s="25" t="s">
        <v>306</v>
      </c>
      <c r="H1302" s="24">
        <v>1</v>
      </c>
      <c r="I1302" s="25" t="s">
        <v>252</v>
      </c>
      <c r="J1302" s="32">
        <v>45392</v>
      </c>
      <c r="K1302" s="24">
        <v>0.78</v>
      </c>
      <c r="L1302" s="9">
        <f t="shared" si="114"/>
        <v>684</v>
      </c>
      <c r="M1302" s="4">
        <f>IF(Table3[[#This Row],[Afrondingsdatum YB]]="N/A","-",Table3[[#This Row],[Afrondingsdatum YB]]-Table3[[#This Row],[StartDatum]])</f>
        <v>45392</v>
      </c>
      <c r="N1302" s="4"/>
      <c r="O1302">
        <f t="shared" si="116"/>
        <v>110</v>
      </c>
      <c r="P1302">
        <f t="shared" si="116"/>
        <v>97</v>
      </c>
      <c r="Q1302">
        <f t="shared" si="116"/>
        <v>114</v>
      </c>
      <c r="R1302">
        <f t="shared" si="116"/>
        <v>101</v>
      </c>
      <c r="S1302">
        <f t="shared" si="116"/>
        <v>107</v>
      </c>
      <c r="T1302">
        <f t="shared" si="116"/>
        <v>46</v>
      </c>
      <c r="U1302">
        <f t="shared" si="116"/>
        <v>109</v>
      </c>
      <c r="V1302">
        <f t="shared" si="116"/>
        <v>97</v>
      </c>
      <c r="W1302" s="5">
        <f t="shared" si="112"/>
        <v>885</v>
      </c>
      <c r="X1302" s="9" t="str">
        <f t="shared" si="113"/>
        <v>a885</v>
      </c>
    </row>
    <row r="1303" spans="1:24" x14ac:dyDescent="0.2">
      <c r="A1303" s="9" t="s">
        <v>425</v>
      </c>
      <c r="B1303" s="9">
        <v>3</v>
      </c>
      <c r="C1303" s="25">
        <v>11</v>
      </c>
      <c r="D1303" s="25"/>
      <c r="E1303" s="23">
        <v>45404</v>
      </c>
      <c r="F1303" s="23" t="s">
        <v>280</v>
      </c>
      <c r="G1303" s="25" t="s">
        <v>347</v>
      </c>
      <c r="H1303" s="24">
        <v>0.05</v>
      </c>
      <c r="I1303" s="25" t="s">
        <v>96</v>
      </c>
      <c r="J1303" s="32" t="s">
        <v>7</v>
      </c>
      <c r="K1303" s="24" t="s">
        <v>9</v>
      </c>
      <c r="L1303" s="9">
        <f t="shared" si="114"/>
        <v>672</v>
      </c>
      <c r="M1303" s="4" t="str">
        <f>IF(Table3[[#This Row],[Afrondingsdatum YB]]="N/A","-",Table3[[#This Row],[Afrondingsdatum YB]]-Table3[[#This Row],[StartDatum]])</f>
        <v>-</v>
      </c>
      <c r="N1303" s="4"/>
      <c r="O1303">
        <f t="shared" si="116"/>
        <v>111</v>
      </c>
      <c r="P1303">
        <f t="shared" si="116"/>
        <v>109</v>
      </c>
      <c r="Q1303">
        <f t="shared" si="116"/>
        <v>97</v>
      </c>
      <c r="R1303">
        <f t="shared" si="116"/>
        <v>114</v>
      </c>
      <c r="S1303">
        <f t="shared" si="116"/>
        <v>46</v>
      </c>
      <c r="T1303">
        <f t="shared" si="116"/>
        <v>97</v>
      </c>
      <c r="U1303">
        <f t="shared" si="116"/>
        <v>98</v>
      </c>
      <c r="V1303">
        <f t="shared" si="116"/>
        <v>100</v>
      </c>
      <c r="W1303" s="5">
        <f t="shared" si="112"/>
        <v>826</v>
      </c>
      <c r="X1303" s="9" t="str">
        <f t="shared" si="113"/>
        <v>m826</v>
      </c>
    </row>
    <row r="1304" spans="1:24" x14ac:dyDescent="0.2">
      <c r="A1304" s="9" t="s">
        <v>425</v>
      </c>
      <c r="B1304" s="9">
        <v>3</v>
      </c>
      <c r="C1304" s="25">
        <v>11</v>
      </c>
      <c r="D1304" s="25"/>
      <c r="E1304" s="23">
        <v>45404</v>
      </c>
      <c r="F1304" s="23" t="s">
        <v>283</v>
      </c>
      <c r="G1304" s="25" t="s">
        <v>307</v>
      </c>
      <c r="H1304" s="24">
        <v>1</v>
      </c>
      <c r="I1304" s="25" t="s">
        <v>243</v>
      </c>
      <c r="J1304" s="32">
        <v>45345</v>
      </c>
      <c r="K1304" s="24">
        <v>0.98</v>
      </c>
      <c r="L1304" s="9">
        <f t="shared" si="114"/>
        <v>695</v>
      </c>
      <c r="M1304" s="4">
        <f>IF(Table3[[#This Row],[Afrondingsdatum YB]]="N/A","-",Table3[[#This Row],[Afrondingsdatum YB]]-Table3[[#This Row],[StartDatum]])</f>
        <v>45345</v>
      </c>
      <c r="N1304" s="4"/>
      <c r="O1304">
        <f t="shared" si="116"/>
        <v>114</v>
      </c>
      <c r="P1304">
        <f t="shared" si="116"/>
        <v>101</v>
      </c>
      <c r="Q1304">
        <f t="shared" si="116"/>
        <v>109</v>
      </c>
      <c r="R1304">
        <f t="shared" si="116"/>
        <v>121</v>
      </c>
      <c r="S1304">
        <f t="shared" si="116"/>
        <v>46</v>
      </c>
      <c r="T1304">
        <f t="shared" si="116"/>
        <v>97</v>
      </c>
      <c r="U1304">
        <f t="shared" si="116"/>
        <v>107</v>
      </c>
      <c r="V1304">
        <f t="shared" si="116"/>
        <v>98</v>
      </c>
      <c r="W1304" s="5">
        <f t="shared" si="112"/>
        <v>870</v>
      </c>
      <c r="X1304" s="9" t="str">
        <f t="shared" si="113"/>
        <v>e870</v>
      </c>
    </row>
    <row r="1305" spans="1:24" x14ac:dyDescent="0.2">
      <c r="A1305" s="9" t="s">
        <v>425</v>
      </c>
      <c r="B1305" s="9">
        <v>3</v>
      </c>
      <c r="C1305" s="25">
        <v>11</v>
      </c>
      <c r="D1305" s="25"/>
      <c r="E1305" s="23">
        <v>45404</v>
      </c>
      <c r="F1305" s="23" t="s">
        <v>283</v>
      </c>
      <c r="G1305" s="25" t="s">
        <v>348</v>
      </c>
      <c r="H1305" s="24">
        <v>1</v>
      </c>
      <c r="I1305" s="25" t="s">
        <v>205</v>
      </c>
      <c r="J1305" s="32">
        <v>45378</v>
      </c>
      <c r="K1305" s="24">
        <v>0.73</v>
      </c>
      <c r="L1305" s="9">
        <f t="shared" si="114"/>
        <v>766</v>
      </c>
      <c r="M1305" s="4">
        <f>IF(Table3[[#This Row],[Afrondingsdatum YB]]="N/A","-",Table3[[#This Row],[Afrondingsdatum YB]]-Table3[[#This Row],[StartDatum]])</f>
        <v>45378</v>
      </c>
      <c r="N1305" s="4"/>
      <c r="O1305">
        <f t="shared" si="116"/>
        <v>114</v>
      </c>
      <c r="P1305">
        <f t="shared" si="116"/>
        <v>111</v>
      </c>
      <c r="Q1305">
        <f t="shared" si="116"/>
        <v>109</v>
      </c>
      <c r="R1305">
        <f t="shared" si="116"/>
        <v>97</v>
      </c>
      <c r="S1305">
        <f t="shared" si="116"/>
        <v>105</v>
      </c>
      <c r="T1305">
        <f t="shared" si="116"/>
        <v>115</v>
      </c>
      <c r="U1305">
        <f t="shared" si="116"/>
        <v>115</v>
      </c>
      <c r="V1305">
        <f t="shared" si="116"/>
        <v>97</v>
      </c>
      <c r="W1305" s="5">
        <f t="shared" si="112"/>
        <v>953</v>
      </c>
      <c r="X1305" s="9" t="str">
        <f t="shared" si="113"/>
        <v>o953</v>
      </c>
    </row>
    <row r="1306" spans="1:24" x14ac:dyDescent="0.2">
      <c r="A1306" s="9" t="s">
        <v>425</v>
      </c>
      <c r="B1306" s="9">
        <v>3</v>
      </c>
      <c r="C1306" s="25">
        <v>11</v>
      </c>
      <c r="D1306" s="25"/>
      <c r="E1306" s="23">
        <v>45404</v>
      </c>
      <c r="F1306" s="23" t="s">
        <v>280</v>
      </c>
      <c r="G1306" s="25" t="s">
        <v>308</v>
      </c>
      <c r="H1306" s="24">
        <v>0.99</v>
      </c>
      <c r="I1306" s="25" t="s">
        <v>355</v>
      </c>
      <c r="J1306" s="32" t="s">
        <v>7</v>
      </c>
      <c r="K1306" s="24" t="s">
        <v>9</v>
      </c>
      <c r="L1306" s="9">
        <f t="shared" si="114"/>
        <v>712</v>
      </c>
      <c r="M1306" s="4" t="str">
        <f>IF(Table3[[#This Row],[Afrondingsdatum YB]]="N/A","-",Table3[[#This Row],[Afrondingsdatum YB]]-Table3[[#This Row],[StartDatum]])</f>
        <v>-</v>
      </c>
      <c r="N1306" s="4"/>
      <c r="O1306">
        <f t="shared" si="116"/>
        <v>114</v>
      </c>
      <c r="P1306">
        <f t="shared" si="116"/>
        <v>111</v>
      </c>
      <c r="Q1306">
        <f t="shared" si="116"/>
        <v>119</v>
      </c>
      <c r="R1306">
        <f t="shared" si="116"/>
        <v>97</v>
      </c>
      <c r="S1306">
        <f t="shared" si="116"/>
        <v>110</v>
      </c>
      <c r="T1306">
        <f t="shared" si="116"/>
        <v>46</v>
      </c>
      <c r="U1306">
        <f t="shared" si="116"/>
        <v>115</v>
      </c>
      <c r="V1306">
        <f t="shared" si="116"/>
        <v>97</v>
      </c>
      <c r="W1306" s="5">
        <f t="shared" si="112"/>
        <v>919</v>
      </c>
      <c r="X1306" s="9" t="str">
        <f t="shared" si="113"/>
        <v>o919</v>
      </c>
    </row>
    <row r="1307" spans="1:24" x14ac:dyDescent="0.2">
      <c r="A1307" s="9" t="s">
        <v>425</v>
      </c>
      <c r="B1307" s="9">
        <v>3</v>
      </c>
      <c r="C1307" s="25">
        <v>11</v>
      </c>
      <c r="D1307" s="25"/>
      <c r="E1307" s="23">
        <v>45404</v>
      </c>
      <c r="F1307" s="23" t="s">
        <v>283</v>
      </c>
      <c r="G1307" s="25" t="s">
        <v>309</v>
      </c>
      <c r="H1307" s="24">
        <v>1</v>
      </c>
      <c r="I1307" s="25" t="s">
        <v>351</v>
      </c>
      <c r="J1307" s="32">
        <v>45384</v>
      </c>
      <c r="K1307" s="24">
        <v>0.7</v>
      </c>
      <c r="L1307" s="9">
        <f t="shared" si="114"/>
        <v>736</v>
      </c>
      <c r="M1307" s="4">
        <f>IF(Table3[[#This Row],[Afrondingsdatum YB]]="N/A","-",Table3[[#This Row],[Afrondingsdatum YB]]-Table3[[#This Row],[StartDatum]])</f>
        <v>45384</v>
      </c>
      <c r="N1307" s="4"/>
      <c r="O1307">
        <f t="shared" si="116"/>
        <v>115</v>
      </c>
      <c r="P1307">
        <f t="shared" si="116"/>
        <v>97</v>
      </c>
      <c r="Q1307">
        <f t="shared" si="116"/>
        <v>121</v>
      </c>
      <c r="R1307">
        <f t="shared" si="116"/>
        <v>102</v>
      </c>
      <c r="S1307">
        <f t="shared" si="116"/>
        <v>101</v>
      </c>
      <c r="T1307">
        <f t="shared" si="116"/>
        <v>100</v>
      </c>
      <c r="U1307">
        <f t="shared" si="116"/>
        <v>100</v>
      </c>
      <c r="V1307">
        <f t="shared" si="116"/>
        <v>105</v>
      </c>
      <c r="W1307" s="5">
        <f t="shared" si="112"/>
        <v>958</v>
      </c>
      <c r="X1307" s="9" t="str">
        <f t="shared" si="113"/>
        <v>a958</v>
      </c>
    </row>
    <row r="1308" spans="1:24" x14ac:dyDescent="0.2">
      <c r="A1308" s="9" t="s">
        <v>425</v>
      </c>
      <c r="B1308" s="9">
        <v>3</v>
      </c>
      <c r="C1308" s="25">
        <v>11</v>
      </c>
      <c r="D1308" s="25"/>
      <c r="E1308" s="23">
        <v>45404</v>
      </c>
      <c r="F1308" s="23" t="s">
        <v>280</v>
      </c>
      <c r="G1308" s="25" t="s">
        <v>318</v>
      </c>
      <c r="H1308" s="24">
        <v>0.39</v>
      </c>
      <c r="I1308" s="25" t="s">
        <v>330</v>
      </c>
      <c r="J1308" s="32" t="s">
        <v>7</v>
      </c>
      <c r="K1308" s="24" t="s">
        <v>9</v>
      </c>
      <c r="L1308" s="9">
        <f t="shared" si="114"/>
        <v>672</v>
      </c>
      <c r="M1308" s="4" t="str">
        <f>IF(Table3[[#This Row],[Afrondingsdatum YB]]="N/A","-",Table3[[#This Row],[Afrondingsdatum YB]]-Table3[[#This Row],[StartDatum]])</f>
        <v>-</v>
      </c>
      <c r="N1308" s="4"/>
      <c r="O1308">
        <f t="shared" si="116"/>
        <v>115</v>
      </c>
      <c r="P1308">
        <f t="shared" si="116"/>
        <v>101</v>
      </c>
      <c r="Q1308">
        <f t="shared" si="116"/>
        <v>98</v>
      </c>
      <c r="R1308">
        <f t="shared" si="116"/>
        <v>97</v>
      </c>
      <c r="S1308">
        <f t="shared" si="116"/>
        <v>115</v>
      </c>
      <c r="T1308">
        <f t="shared" si="116"/>
        <v>46</v>
      </c>
      <c r="U1308">
        <f t="shared" si="116"/>
        <v>100</v>
      </c>
      <c r="V1308">
        <f t="shared" si="116"/>
        <v>101</v>
      </c>
      <c r="W1308" s="5">
        <f t="shared" si="112"/>
        <v>846</v>
      </c>
      <c r="X1308" s="9" t="str">
        <f t="shared" si="113"/>
        <v>e846</v>
      </c>
    </row>
    <row r="1309" spans="1:24" x14ac:dyDescent="0.2">
      <c r="A1309" s="9" t="s">
        <v>425</v>
      </c>
      <c r="B1309" s="9">
        <v>3</v>
      </c>
      <c r="C1309" s="25">
        <v>11</v>
      </c>
      <c r="D1309" s="25"/>
      <c r="E1309" s="23">
        <v>45404</v>
      </c>
      <c r="F1309" s="23" t="s">
        <v>283</v>
      </c>
      <c r="G1309" s="25" t="s">
        <v>357</v>
      </c>
      <c r="H1309" s="24">
        <v>0.03</v>
      </c>
      <c r="I1309" s="25" t="s">
        <v>70</v>
      </c>
      <c r="J1309" s="32" t="s">
        <v>7</v>
      </c>
      <c r="K1309" s="24" t="s">
        <v>9</v>
      </c>
      <c r="L1309" s="9">
        <f t="shared" si="114"/>
        <v>698</v>
      </c>
      <c r="M1309" s="4" t="str">
        <f>IF(Table3[[#This Row],[Afrondingsdatum YB]]="N/A","-",Table3[[#This Row],[Afrondingsdatum YB]]-Table3[[#This Row],[StartDatum]])</f>
        <v>-</v>
      </c>
      <c r="N1309" s="4"/>
      <c r="O1309">
        <f t="shared" si="116"/>
        <v>115</v>
      </c>
      <c r="P1309">
        <f t="shared" si="116"/>
        <v>116</v>
      </c>
      <c r="Q1309">
        <f t="shared" si="116"/>
        <v>105</v>
      </c>
      <c r="R1309">
        <f t="shared" si="116"/>
        <v>106</v>
      </c>
      <c r="S1309">
        <f t="shared" si="116"/>
        <v>110</v>
      </c>
      <c r="T1309">
        <f t="shared" si="116"/>
        <v>46</v>
      </c>
      <c r="U1309">
        <f t="shared" si="116"/>
        <v>100</v>
      </c>
      <c r="V1309">
        <f t="shared" si="116"/>
        <v>101</v>
      </c>
      <c r="W1309" s="5">
        <f t="shared" si="112"/>
        <v>872</v>
      </c>
      <c r="X1309" s="9" t="str">
        <f t="shared" si="113"/>
        <v>t872</v>
      </c>
    </row>
    <row r="1310" spans="1:24" x14ac:dyDescent="0.2">
      <c r="A1310" s="9" t="s">
        <v>425</v>
      </c>
      <c r="B1310" s="9">
        <v>3</v>
      </c>
      <c r="C1310" s="25">
        <v>11</v>
      </c>
      <c r="D1310" s="25"/>
      <c r="E1310" s="23">
        <v>45404</v>
      </c>
      <c r="F1310" s="23" t="s">
        <v>283</v>
      </c>
      <c r="G1310" s="25" t="s">
        <v>310</v>
      </c>
      <c r="H1310" s="24">
        <v>1</v>
      </c>
      <c r="I1310" s="25" t="s">
        <v>352</v>
      </c>
      <c r="J1310" s="32">
        <v>45389</v>
      </c>
      <c r="K1310" s="24">
        <v>0.85</v>
      </c>
      <c r="L1310" s="9">
        <f t="shared" si="114"/>
        <v>724</v>
      </c>
      <c r="M1310" s="4">
        <f>IF(Table3[[#This Row],[Afrondingsdatum YB]]="N/A","-",Table3[[#This Row],[Afrondingsdatum YB]]-Table3[[#This Row],[StartDatum]])</f>
        <v>45389</v>
      </c>
      <c r="N1310" s="4"/>
      <c r="O1310">
        <f t="shared" si="116"/>
        <v>116</v>
      </c>
      <c r="P1310">
        <f t="shared" si="116"/>
        <v>111</v>
      </c>
      <c r="Q1310">
        <f t="shared" si="116"/>
        <v>109</v>
      </c>
      <c r="R1310">
        <f t="shared" si="116"/>
        <v>109</v>
      </c>
      <c r="S1310">
        <f t="shared" si="116"/>
        <v>121</v>
      </c>
      <c r="T1310">
        <f t="shared" si="116"/>
        <v>46</v>
      </c>
      <c r="U1310">
        <f t="shared" si="116"/>
        <v>112</v>
      </c>
      <c r="V1310">
        <f t="shared" si="116"/>
        <v>111</v>
      </c>
      <c r="W1310" s="5">
        <f t="shared" si="112"/>
        <v>916</v>
      </c>
      <c r="X1310" s="9" t="str">
        <f t="shared" si="113"/>
        <v>o916</v>
      </c>
    </row>
    <row r="1311" spans="1:24" x14ac:dyDescent="0.2">
      <c r="A1311" s="9" t="s">
        <v>425</v>
      </c>
      <c r="B1311" s="9">
        <v>3</v>
      </c>
      <c r="C1311" s="25">
        <v>11</v>
      </c>
      <c r="D1311" s="25"/>
      <c r="E1311" s="23">
        <v>45404</v>
      </c>
      <c r="F1311" s="23" t="s">
        <v>280</v>
      </c>
      <c r="G1311" s="25" t="s">
        <v>322</v>
      </c>
      <c r="H1311" s="24">
        <v>1</v>
      </c>
      <c r="I1311" s="25" t="s">
        <v>158</v>
      </c>
      <c r="J1311" s="32">
        <v>45368</v>
      </c>
      <c r="K1311" s="24">
        <v>0.85</v>
      </c>
      <c r="L1311" s="9">
        <f t="shared" si="114"/>
        <v>728</v>
      </c>
      <c r="M1311" s="4">
        <f>IF(Table3[[#This Row],[Afrondingsdatum YB]]="N/A","-",Table3[[#This Row],[Afrondingsdatum YB]]-Table3[[#This Row],[StartDatum]])</f>
        <v>45368</v>
      </c>
      <c r="N1311" s="4"/>
      <c r="O1311">
        <f t="shared" si="116"/>
        <v>120</v>
      </c>
      <c r="P1311">
        <f t="shared" si="116"/>
        <v>117</v>
      </c>
      <c r="Q1311">
        <f t="shared" si="116"/>
        <v>121</v>
      </c>
      <c r="R1311">
        <f t="shared" si="116"/>
        <v>117</v>
      </c>
      <c r="S1311">
        <f t="shared" si="116"/>
        <v>97</v>
      </c>
      <c r="T1311">
        <f t="shared" si="116"/>
        <v>110</v>
      </c>
      <c r="U1311">
        <f t="shared" si="116"/>
        <v>46</v>
      </c>
      <c r="V1311">
        <f t="shared" si="116"/>
        <v>121</v>
      </c>
      <c r="W1311" s="5">
        <f t="shared" si="112"/>
        <v>945</v>
      </c>
      <c r="X1311" s="9" t="str">
        <f t="shared" si="113"/>
        <v>u945</v>
      </c>
    </row>
    <row r="1312" spans="1:24" x14ac:dyDescent="0.2">
      <c r="A1312" s="9" t="s">
        <v>425</v>
      </c>
      <c r="B1312" s="9">
        <v>3</v>
      </c>
      <c r="C1312" s="25">
        <v>11</v>
      </c>
      <c r="D1312" s="25"/>
      <c r="E1312" s="23">
        <v>45404</v>
      </c>
      <c r="F1312" s="23" t="s">
        <v>283</v>
      </c>
      <c r="G1312" s="25" t="s">
        <v>311</v>
      </c>
      <c r="H1312" s="24">
        <v>1</v>
      </c>
      <c r="I1312" s="25" t="s">
        <v>164</v>
      </c>
      <c r="J1312" s="32">
        <v>45383</v>
      </c>
      <c r="K1312" s="24">
        <v>0.78</v>
      </c>
      <c r="L1312" s="9">
        <f t="shared" si="114"/>
        <v>758</v>
      </c>
      <c r="M1312" s="4">
        <f>IF(Table3[[#This Row],[Afrondingsdatum YB]]="N/A","-",Table3[[#This Row],[Afrondingsdatum YB]]-Table3[[#This Row],[StartDatum]])</f>
        <v>45383</v>
      </c>
      <c r="N1312" s="4"/>
      <c r="O1312">
        <f t="shared" si="116"/>
        <v>121</v>
      </c>
      <c r="P1312">
        <f t="shared" si="116"/>
        <v>97</v>
      </c>
      <c r="Q1312">
        <f t="shared" si="116"/>
        <v>115</v>
      </c>
      <c r="R1312">
        <f t="shared" si="116"/>
        <v>109</v>
      </c>
      <c r="S1312">
        <f t="shared" si="116"/>
        <v>105</v>
      </c>
      <c r="T1312">
        <f t="shared" si="116"/>
        <v>110</v>
      </c>
      <c r="U1312">
        <f t="shared" si="116"/>
        <v>101</v>
      </c>
      <c r="V1312">
        <f t="shared" si="116"/>
        <v>46</v>
      </c>
      <c r="W1312" s="5">
        <f t="shared" si="112"/>
        <v>904</v>
      </c>
      <c r="X1312" s="9" t="str">
        <f t="shared" si="113"/>
        <v>a904</v>
      </c>
    </row>
    <row r="1313" spans="1:24" x14ac:dyDescent="0.2">
      <c r="A1313" s="9" t="s">
        <v>425</v>
      </c>
      <c r="B1313" s="9">
        <v>3</v>
      </c>
      <c r="C1313" s="25">
        <v>11</v>
      </c>
      <c r="D1313" s="25"/>
      <c r="E1313" s="23">
        <v>45404</v>
      </c>
      <c r="F1313" s="23" t="s">
        <v>283</v>
      </c>
      <c r="G1313" s="25" t="s">
        <v>340</v>
      </c>
      <c r="H1313" s="24">
        <v>1</v>
      </c>
      <c r="I1313" s="25" t="s">
        <v>341</v>
      </c>
      <c r="J1313" s="32">
        <v>45375</v>
      </c>
      <c r="K1313" s="24">
        <v>0.9</v>
      </c>
      <c r="L1313" s="9">
        <f t="shared" si="114"/>
        <v>782</v>
      </c>
      <c r="M1313" s="4">
        <f>IF(Table3[[#This Row],[Afrondingsdatum YB]]="N/A","-",Table3[[#This Row],[Afrondingsdatum YB]]-Table3[[#This Row],[StartDatum]])</f>
        <v>45375</v>
      </c>
      <c r="N1313" s="4"/>
      <c r="O1313">
        <f t="shared" si="116"/>
        <v>121</v>
      </c>
      <c r="P1313">
        <f t="shared" si="116"/>
        <v>111</v>
      </c>
      <c r="Q1313">
        <f t="shared" si="116"/>
        <v>117</v>
      </c>
      <c r="R1313">
        <f t="shared" si="116"/>
        <v>115</v>
      </c>
      <c r="S1313">
        <f t="shared" si="116"/>
        <v>115</v>
      </c>
      <c r="T1313">
        <f t="shared" si="116"/>
        <v>101</v>
      </c>
      <c r="U1313">
        <f t="shared" si="116"/>
        <v>102</v>
      </c>
      <c r="V1313">
        <f t="shared" si="116"/>
        <v>46</v>
      </c>
      <c r="W1313" s="5">
        <f t="shared" si="112"/>
        <v>920</v>
      </c>
      <c r="X1313" s="9" t="str">
        <f t="shared" si="113"/>
        <v>o920</v>
      </c>
    </row>
    <row r="1314" spans="1:24" x14ac:dyDescent="0.2">
      <c r="A1314" s="9" t="s">
        <v>425</v>
      </c>
      <c r="B1314" s="9">
        <v>3</v>
      </c>
      <c r="C1314" s="25">
        <v>11</v>
      </c>
      <c r="D1314" s="25"/>
      <c r="E1314" s="23">
        <v>45404</v>
      </c>
      <c r="F1314" s="23" t="s">
        <v>280</v>
      </c>
      <c r="G1314" s="25" t="s">
        <v>312</v>
      </c>
      <c r="H1314" s="24">
        <v>0.99</v>
      </c>
      <c r="I1314" s="25" t="s">
        <v>358</v>
      </c>
      <c r="J1314" s="32" t="s">
        <v>7</v>
      </c>
      <c r="K1314" s="24" t="s">
        <v>9</v>
      </c>
      <c r="L1314" s="9">
        <f t="shared" si="114"/>
        <v>790</v>
      </c>
      <c r="M1314" s="4" t="str">
        <f>IF(Table3[[#This Row],[Afrondingsdatum YB]]="N/A","-",Table3[[#This Row],[Afrondingsdatum YB]]-Table3[[#This Row],[StartDatum]])</f>
        <v>-</v>
      </c>
      <c r="N1314" s="4"/>
      <c r="O1314">
        <f t="shared" si="116"/>
        <v>121</v>
      </c>
      <c r="P1314">
        <f t="shared" si="116"/>
        <v>111</v>
      </c>
      <c r="Q1314">
        <f t="shared" si="116"/>
        <v>117</v>
      </c>
      <c r="R1314">
        <f t="shared" si="116"/>
        <v>115</v>
      </c>
      <c r="S1314">
        <f t="shared" si="116"/>
        <v>115</v>
      </c>
      <c r="T1314">
        <f t="shared" si="116"/>
        <v>114</v>
      </c>
      <c r="U1314">
        <f t="shared" si="116"/>
        <v>97</v>
      </c>
      <c r="V1314">
        <f t="shared" si="116"/>
        <v>46</v>
      </c>
      <c r="W1314" s="5">
        <f t="shared" si="112"/>
        <v>928</v>
      </c>
      <c r="X1314" s="9" t="str">
        <f t="shared" si="113"/>
        <v>o928</v>
      </c>
    </row>
    <row r="1315" spans="1:24" x14ac:dyDescent="0.2">
      <c r="A1315" s="9" t="s">
        <v>425</v>
      </c>
      <c r="B1315" s="9">
        <v>3</v>
      </c>
      <c r="C1315" s="25">
        <v>11</v>
      </c>
      <c r="D1315" s="25"/>
      <c r="E1315" s="23">
        <v>45404</v>
      </c>
      <c r="F1315" s="23" t="s">
        <v>283</v>
      </c>
      <c r="G1315" s="25" t="s">
        <v>323</v>
      </c>
      <c r="H1315" s="24">
        <v>1</v>
      </c>
      <c r="I1315" s="25" t="s">
        <v>187</v>
      </c>
      <c r="J1315" s="32">
        <v>45384</v>
      </c>
      <c r="K1315" s="24">
        <v>0.75</v>
      </c>
      <c r="L1315" s="9">
        <f t="shared" si="114"/>
        <v>685</v>
      </c>
      <c r="M1315" s="4">
        <f>IF(Table3[[#This Row],[Afrondingsdatum YB]]="N/A","-",Table3[[#This Row],[Afrondingsdatum YB]]-Table3[[#This Row],[StartDatum]])</f>
        <v>45384</v>
      </c>
      <c r="N1315" s="4"/>
      <c r="O1315">
        <f t="shared" si="116"/>
        <v>122</v>
      </c>
      <c r="P1315">
        <f t="shared" si="116"/>
        <v>105</v>
      </c>
      <c r="Q1315">
        <f t="shared" si="116"/>
        <v>97</v>
      </c>
      <c r="R1315">
        <f t="shared" si="116"/>
        <v>46</v>
      </c>
      <c r="S1315">
        <f t="shared" si="116"/>
        <v>100</v>
      </c>
      <c r="T1315">
        <f t="shared" si="116"/>
        <v>105</v>
      </c>
      <c r="U1315">
        <f t="shared" si="116"/>
        <v>110</v>
      </c>
      <c r="V1315">
        <f t="shared" si="116"/>
        <v>109</v>
      </c>
      <c r="W1315" s="5">
        <f t="shared" si="112"/>
        <v>901</v>
      </c>
      <c r="X1315" s="9" t="str">
        <f t="shared" si="113"/>
        <v>i901</v>
      </c>
    </row>
    <row r="1316" spans="1:24" x14ac:dyDescent="0.2">
      <c r="A1316" s="9" t="s">
        <v>425</v>
      </c>
      <c r="B1316" s="9">
        <v>3</v>
      </c>
      <c r="C1316" s="25">
        <v>12</v>
      </c>
      <c r="D1316" s="25"/>
      <c r="E1316" s="23">
        <v>45418</v>
      </c>
      <c r="F1316" s="23" t="s">
        <v>280</v>
      </c>
      <c r="G1316" s="25" t="s">
        <v>281</v>
      </c>
      <c r="H1316" s="24">
        <v>1</v>
      </c>
      <c r="I1316" s="25" t="s">
        <v>331</v>
      </c>
      <c r="J1316" s="32">
        <v>45373</v>
      </c>
      <c r="K1316" s="24">
        <v>0.8</v>
      </c>
      <c r="L1316" s="9">
        <f t="shared" si="114"/>
        <v>717</v>
      </c>
      <c r="M1316" s="4">
        <f>IF(Table3[[#This Row],[Afrondingsdatum YB]]="N/A","-",Table3[[#This Row],[Afrondingsdatum YB]]-Table3[[#This Row],[StartDatum]])</f>
        <v>45373</v>
      </c>
      <c r="N1316" s="4"/>
      <c r="O1316">
        <f t="shared" si="116"/>
        <v>97</v>
      </c>
      <c r="P1316">
        <f t="shared" si="116"/>
        <v>98</v>
      </c>
      <c r="Q1316">
        <f t="shared" si="116"/>
        <v>100</v>
      </c>
      <c r="R1316">
        <f t="shared" si="116"/>
        <v>101</v>
      </c>
      <c r="S1316">
        <f t="shared" si="116"/>
        <v>108</v>
      </c>
      <c r="T1316">
        <f t="shared" si="116"/>
        <v>105</v>
      </c>
      <c r="U1316">
        <f t="shared" si="116"/>
        <v>108</v>
      </c>
      <c r="V1316">
        <f t="shared" si="116"/>
        <v>97</v>
      </c>
      <c r="W1316" s="5">
        <f t="shared" si="112"/>
        <v>889</v>
      </c>
      <c r="X1316" s="9" t="str">
        <f t="shared" si="113"/>
        <v>b889</v>
      </c>
    </row>
    <row r="1317" spans="1:24" x14ac:dyDescent="0.2">
      <c r="A1317" s="9" t="s">
        <v>425</v>
      </c>
      <c r="B1317" s="9">
        <v>3</v>
      </c>
      <c r="C1317" s="25">
        <v>12</v>
      </c>
      <c r="D1317" s="25"/>
      <c r="E1317" s="23">
        <v>45418</v>
      </c>
      <c r="F1317" s="23" t="s">
        <v>280</v>
      </c>
      <c r="G1317" s="25" t="s">
        <v>282</v>
      </c>
      <c r="H1317" s="24">
        <v>0.02</v>
      </c>
      <c r="I1317" s="25" t="s">
        <v>325</v>
      </c>
      <c r="J1317" s="32" t="s">
        <v>7</v>
      </c>
      <c r="K1317" s="24" t="s">
        <v>9</v>
      </c>
      <c r="L1317" s="9">
        <f t="shared" si="114"/>
        <v>675</v>
      </c>
      <c r="M1317" s="4" t="str">
        <f>IF(Table3[[#This Row],[Afrondingsdatum YB]]="N/A","-",Table3[[#This Row],[Afrondingsdatum YB]]-Table3[[#This Row],[StartDatum]])</f>
        <v>-</v>
      </c>
      <c r="N1317" s="4"/>
      <c r="O1317">
        <f t="shared" si="116"/>
        <v>97</v>
      </c>
      <c r="P1317">
        <f t="shared" si="116"/>
        <v>104</v>
      </c>
      <c r="Q1317">
        <f t="shared" si="116"/>
        <v>109</v>
      </c>
      <c r="R1317">
        <f t="shared" si="116"/>
        <v>97</v>
      </c>
      <c r="S1317">
        <f t="shared" si="116"/>
        <v>100</v>
      </c>
      <c r="T1317">
        <f t="shared" si="116"/>
        <v>46</v>
      </c>
      <c r="U1317">
        <f t="shared" si="116"/>
        <v>122</v>
      </c>
      <c r="V1317">
        <f t="shared" si="116"/>
        <v>97</v>
      </c>
      <c r="W1317" s="5">
        <f t="shared" si="112"/>
        <v>865</v>
      </c>
      <c r="X1317" s="9" t="str">
        <f t="shared" si="113"/>
        <v>h865</v>
      </c>
    </row>
    <row r="1318" spans="1:24" x14ac:dyDescent="0.2">
      <c r="A1318" s="9" t="s">
        <v>425</v>
      </c>
      <c r="B1318" s="9">
        <v>3</v>
      </c>
      <c r="C1318" s="25">
        <v>12</v>
      </c>
      <c r="D1318" s="25"/>
      <c r="E1318" s="23">
        <v>45418</v>
      </c>
      <c r="F1318" s="23" t="s">
        <v>283</v>
      </c>
      <c r="G1318" s="25" t="s">
        <v>284</v>
      </c>
      <c r="H1318" s="24">
        <v>1</v>
      </c>
      <c r="I1318" s="25" t="s">
        <v>208</v>
      </c>
      <c r="J1318" s="32">
        <v>45354</v>
      </c>
      <c r="K1318" s="24">
        <v>0.8</v>
      </c>
      <c r="L1318" s="9">
        <f t="shared" si="114"/>
        <v>656</v>
      </c>
      <c r="M1318" s="4">
        <f>IF(Table3[[#This Row],[Afrondingsdatum YB]]="N/A","-",Table3[[#This Row],[Afrondingsdatum YB]]-Table3[[#This Row],[StartDatum]])</f>
        <v>45354</v>
      </c>
      <c r="N1318" s="4"/>
      <c r="O1318">
        <f t="shared" si="116"/>
        <v>65</v>
      </c>
      <c r="P1318">
        <f t="shared" si="116"/>
        <v>104</v>
      </c>
      <c r="Q1318">
        <f t="shared" si="116"/>
        <v>109</v>
      </c>
      <c r="R1318">
        <f t="shared" si="116"/>
        <v>101</v>
      </c>
      <c r="S1318">
        <f t="shared" si="116"/>
        <v>116</v>
      </c>
      <c r="T1318">
        <f t="shared" si="116"/>
        <v>46</v>
      </c>
      <c r="U1318">
        <f t="shared" si="116"/>
        <v>115</v>
      </c>
      <c r="V1318">
        <f t="shared" si="116"/>
        <v>101</v>
      </c>
      <c r="W1318" s="5">
        <f t="shared" si="112"/>
        <v>847</v>
      </c>
      <c r="X1318" s="9" t="str">
        <f t="shared" si="113"/>
        <v>h847</v>
      </c>
    </row>
    <row r="1319" spans="1:24" x14ac:dyDescent="0.2">
      <c r="A1319" s="9" t="s">
        <v>425</v>
      </c>
      <c r="B1319" s="9">
        <v>3</v>
      </c>
      <c r="C1319" s="25">
        <v>12</v>
      </c>
      <c r="D1319" s="25"/>
      <c r="E1319" s="23">
        <v>45418</v>
      </c>
      <c r="F1319" s="23" t="s">
        <v>283</v>
      </c>
      <c r="G1319" s="25" t="s">
        <v>285</v>
      </c>
      <c r="H1319" s="24">
        <v>1</v>
      </c>
      <c r="I1319" s="25" t="s">
        <v>139</v>
      </c>
      <c r="J1319" s="32">
        <v>45380</v>
      </c>
      <c r="K1319" s="24">
        <v>0.78</v>
      </c>
      <c r="L1319" s="9">
        <f t="shared" si="114"/>
        <v>747</v>
      </c>
      <c r="M1319" s="4">
        <f>IF(Table3[[#This Row],[Afrondingsdatum YB]]="N/A","-",Table3[[#This Row],[Afrondingsdatum YB]]-Table3[[#This Row],[StartDatum]])</f>
        <v>45380</v>
      </c>
      <c r="N1319" s="4"/>
      <c r="O1319">
        <f t="shared" si="116"/>
        <v>97</v>
      </c>
      <c r="P1319">
        <f t="shared" si="116"/>
        <v>110</v>
      </c>
      <c r="Q1319">
        <f t="shared" si="116"/>
        <v>97</v>
      </c>
      <c r="R1319">
        <f t="shared" si="116"/>
        <v>115</v>
      </c>
      <c r="S1319">
        <f t="shared" si="116"/>
        <v>116</v>
      </c>
      <c r="T1319">
        <f t="shared" si="116"/>
        <v>97</v>
      </c>
      <c r="U1319">
        <f t="shared" si="116"/>
        <v>115</v>
      </c>
      <c r="V1319">
        <f t="shared" si="116"/>
        <v>105</v>
      </c>
      <c r="W1319" s="5">
        <f t="shared" ref="W1319:W1356" si="117">ROUND((O1319*O$1+P1319/P$1+Q1319*Q$1+R1319/R$1)+SUM(S1319:V1319),0)</f>
        <v>905</v>
      </c>
      <c r="X1319" s="9" t="str">
        <f t="shared" ref="X1319:X1356" si="118">MID(G1319,2,1)&amp;TEXT(W1319,"###")</f>
        <v>n905</v>
      </c>
    </row>
    <row r="1320" spans="1:24" x14ac:dyDescent="0.2">
      <c r="A1320" s="9" t="s">
        <v>425</v>
      </c>
      <c r="B1320" s="9">
        <v>3</v>
      </c>
      <c r="C1320" s="25">
        <v>12</v>
      </c>
      <c r="D1320" s="25"/>
      <c r="E1320" s="23">
        <v>45418</v>
      </c>
      <c r="F1320" s="23" t="s">
        <v>283</v>
      </c>
      <c r="G1320" s="25" t="s">
        <v>333</v>
      </c>
      <c r="H1320" s="24">
        <v>1</v>
      </c>
      <c r="I1320" s="25" t="s">
        <v>342</v>
      </c>
      <c r="J1320" s="32">
        <v>45382</v>
      </c>
      <c r="K1320" s="24">
        <v>0.85</v>
      </c>
      <c r="L1320" s="9">
        <f t="shared" si="114"/>
        <v>675</v>
      </c>
      <c r="M1320" s="4">
        <f>IF(Table3[[#This Row],[Afrondingsdatum YB]]="N/A","-",Table3[[#This Row],[Afrondingsdatum YB]]-Table3[[#This Row],[StartDatum]])</f>
        <v>45382</v>
      </c>
      <c r="N1320" s="4"/>
      <c r="O1320">
        <f t="shared" si="116"/>
        <v>97</v>
      </c>
      <c r="P1320">
        <f t="shared" si="116"/>
        <v>115</v>
      </c>
      <c r="Q1320">
        <f t="shared" si="116"/>
        <v>104</v>
      </c>
      <c r="R1320">
        <f t="shared" si="116"/>
        <v>114</v>
      </c>
      <c r="S1320">
        <f t="shared" si="116"/>
        <v>97</v>
      </c>
      <c r="T1320">
        <f t="shared" si="116"/>
        <v>102</v>
      </c>
      <c r="U1320">
        <f t="shared" si="116"/>
        <v>46</v>
      </c>
      <c r="V1320">
        <f t="shared" si="116"/>
        <v>104</v>
      </c>
      <c r="W1320" s="5">
        <f t="shared" si="117"/>
        <v>844</v>
      </c>
      <c r="X1320" s="9" t="str">
        <f t="shared" si="118"/>
        <v>s844</v>
      </c>
    </row>
    <row r="1321" spans="1:24" x14ac:dyDescent="0.2">
      <c r="A1321" s="9" t="s">
        <v>425</v>
      </c>
      <c r="B1321" s="9">
        <v>3</v>
      </c>
      <c r="C1321" s="25">
        <v>12</v>
      </c>
      <c r="D1321" s="25"/>
      <c r="E1321" s="23">
        <v>45418</v>
      </c>
      <c r="F1321" s="23" t="s">
        <v>283</v>
      </c>
      <c r="G1321" s="25" t="s">
        <v>286</v>
      </c>
      <c r="H1321" s="24">
        <v>1</v>
      </c>
      <c r="I1321" s="25" t="s">
        <v>238</v>
      </c>
      <c r="J1321" s="32">
        <v>45352</v>
      </c>
      <c r="K1321" s="24">
        <v>0.85</v>
      </c>
      <c r="L1321" s="9">
        <f t="shared" si="114"/>
        <v>645</v>
      </c>
      <c r="M1321" s="4">
        <f>IF(Table3[[#This Row],[Afrondingsdatum YB]]="N/A","-",Table3[[#This Row],[Afrondingsdatum YB]]-Table3[[#This Row],[StartDatum]])</f>
        <v>45352</v>
      </c>
      <c r="N1321" s="4"/>
      <c r="O1321">
        <f t="shared" si="116"/>
        <v>66</v>
      </c>
      <c r="P1321">
        <f t="shared" si="116"/>
        <v>97</v>
      </c>
      <c r="Q1321">
        <f t="shared" si="116"/>
        <v>115</v>
      </c>
      <c r="R1321">
        <f t="shared" si="116"/>
        <v>46</v>
      </c>
      <c r="S1321">
        <f t="shared" si="116"/>
        <v>107</v>
      </c>
      <c r="T1321">
        <f t="shared" si="116"/>
        <v>105</v>
      </c>
      <c r="U1321">
        <f t="shared" si="116"/>
        <v>109</v>
      </c>
      <c r="V1321">
        <f t="shared" si="116"/>
        <v>109</v>
      </c>
      <c r="W1321" s="5">
        <f t="shared" si="117"/>
        <v>901</v>
      </c>
      <c r="X1321" s="9" t="str">
        <f t="shared" si="118"/>
        <v>a901</v>
      </c>
    </row>
    <row r="1322" spans="1:24" x14ac:dyDescent="0.2">
      <c r="A1322" s="9" t="s">
        <v>425</v>
      </c>
      <c r="B1322" s="9">
        <v>3</v>
      </c>
      <c r="C1322" s="25">
        <v>12</v>
      </c>
      <c r="D1322" s="25"/>
      <c r="E1322" s="23">
        <v>45418</v>
      </c>
      <c r="F1322" s="23" t="s">
        <v>283</v>
      </c>
      <c r="G1322" s="25" t="s">
        <v>353</v>
      </c>
      <c r="H1322" s="24">
        <v>1</v>
      </c>
      <c r="I1322" s="25" t="s">
        <v>356</v>
      </c>
      <c r="J1322" s="32">
        <v>45397</v>
      </c>
      <c r="K1322" s="24">
        <v>0.83</v>
      </c>
      <c r="L1322" s="9">
        <f t="shared" si="114"/>
        <v>690</v>
      </c>
      <c r="M1322" s="4">
        <f>IF(Table3[[#This Row],[Afrondingsdatum YB]]="N/A","-",Table3[[#This Row],[Afrondingsdatum YB]]-Table3[[#This Row],[StartDatum]])</f>
        <v>45397</v>
      </c>
      <c r="N1322" s="4"/>
      <c r="O1322">
        <f t="shared" si="116"/>
        <v>100</v>
      </c>
      <c r="P1322">
        <f t="shared" si="116"/>
        <v>97</v>
      </c>
      <c r="Q1322">
        <f t="shared" si="116"/>
        <v>109</v>
      </c>
      <c r="R1322">
        <f t="shared" si="116"/>
        <v>121</v>
      </c>
      <c r="S1322">
        <f t="shared" si="116"/>
        <v>46</v>
      </c>
      <c r="T1322">
        <f t="shared" si="116"/>
        <v>107</v>
      </c>
      <c r="U1322">
        <f t="shared" si="116"/>
        <v>110</v>
      </c>
      <c r="V1322">
        <f t="shared" si="116"/>
        <v>101</v>
      </c>
      <c r="W1322" s="5">
        <f t="shared" si="117"/>
        <v>870</v>
      </c>
      <c r="X1322" s="9" t="str">
        <f t="shared" si="118"/>
        <v>a870</v>
      </c>
    </row>
    <row r="1323" spans="1:24" x14ac:dyDescent="0.2">
      <c r="A1323" s="9" t="s">
        <v>425</v>
      </c>
      <c r="B1323" s="9">
        <v>3</v>
      </c>
      <c r="C1323" s="25">
        <v>12</v>
      </c>
      <c r="D1323" s="25"/>
      <c r="E1323" s="23">
        <v>45418</v>
      </c>
      <c r="F1323" s="23" t="s">
        <v>280</v>
      </c>
      <c r="G1323" s="25" t="s">
        <v>287</v>
      </c>
      <c r="H1323" s="24">
        <v>1</v>
      </c>
      <c r="I1323" s="25" t="s">
        <v>335</v>
      </c>
      <c r="J1323" s="32">
        <v>45383</v>
      </c>
      <c r="K1323" s="24">
        <v>0.9</v>
      </c>
      <c r="L1323" s="9">
        <f t="shared" si="114"/>
        <v>666</v>
      </c>
      <c r="M1323" s="4">
        <f>IF(Table3[[#This Row],[Afrondingsdatum YB]]="N/A","-",Table3[[#This Row],[Afrondingsdatum YB]]-Table3[[#This Row],[StartDatum]])</f>
        <v>45383</v>
      </c>
      <c r="N1323" s="4"/>
      <c r="O1323">
        <f t="shared" si="116"/>
        <v>100</v>
      </c>
      <c r="P1323">
        <f t="shared" si="116"/>
        <v>106</v>
      </c>
      <c r="Q1323">
        <f t="shared" si="116"/>
        <v>97</v>
      </c>
      <c r="R1323">
        <f t="shared" si="116"/>
        <v>98</v>
      </c>
      <c r="S1323">
        <f t="shared" si="116"/>
        <v>105</v>
      </c>
      <c r="T1323">
        <f t="shared" si="116"/>
        <v>114</v>
      </c>
      <c r="U1323">
        <f t="shared" si="116"/>
        <v>46</v>
      </c>
      <c r="V1323">
        <f t="shared" si="116"/>
        <v>104</v>
      </c>
      <c r="W1323" s="5">
        <f t="shared" si="117"/>
        <v>838</v>
      </c>
      <c r="X1323" s="9" t="str">
        <f t="shared" si="118"/>
        <v>j838</v>
      </c>
    </row>
    <row r="1324" spans="1:24" x14ac:dyDescent="0.2">
      <c r="A1324" s="9" t="s">
        <v>425</v>
      </c>
      <c r="B1324" s="9">
        <v>3</v>
      </c>
      <c r="C1324" s="25">
        <v>12</v>
      </c>
      <c r="D1324" s="25"/>
      <c r="E1324" s="23">
        <v>45418</v>
      </c>
      <c r="F1324" s="23" t="s">
        <v>283</v>
      </c>
      <c r="G1324" s="25" t="s">
        <v>343</v>
      </c>
      <c r="H1324" s="24">
        <v>1</v>
      </c>
      <c r="I1324" s="25" t="s">
        <v>350</v>
      </c>
      <c r="J1324" s="32">
        <v>45390</v>
      </c>
      <c r="K1324" s="24">
        <v>0.8</v>
      </c>
      <c r="L1324" s="9">
        <f t="shared" ref="L1324:L1387" si="119">SUM(O1324:U1324)</f>
        <v>639</v>
      </c>
      <c r="M1324" s="4">
        <f>IF(Table3[[#This Row],[Afrondingsdatum YB]]="N/A","-",Table3[[#This Row],[Afrondingsdatum YB]]-Table3[[#This Row],[StartDatum]])</f>
        <v>45390</v>
      </c>
      <c r="N1324" s="4"/>
      <c r="O1324">
        <f t="shared" si="116"/>
        <v>70</v>
      </c>
      <c r="P1324">
        <f t="shared" si="116"/>
        <v>97</v>
      </c>
      <c r="Q1324">
        <f t="shared" si="116"/>
        <v>116</v>
      </c>
      <c r="R1324">
        <f t="shared" si="116"/>
        <v>105</v>
      </c>
      <c r="S1324">
        <f t="shared" si="116"/>
        <v>109</v>
      </c>
      <c r="T1324">
        <f t="shared" si="116"/>
        <v>97</v>
      </c>
      <c r="U1324">
        <f t="shared" si="116"/>
        <v>45</v>
      </c>
      <c r="V1324">
        <f t="shared" si="116"/>
        <v>101</v>
      </c>
      <c r="W1324" s="5">
        <f t="shared" si="117"/>
        <v>845</v>
      </c>
      <c r="X1324" s="9" t="str">
        <f t="shared" si="118"/>
        <v>a845</v>
      </c>
    </row>
    <row r="1325" spans="1:24" x14ac:dyDescent="0.2">
      <c r="A1325" s="9" t="s">
        <v>425</v>
      </c>
      <c r="B1325" s="9">
        <v>3</v>
      </c>
      <c r="C1325" s="25">
        <v>12</v>
      </c>
      <c r="D1325" s="25"/>
      <c r="E1325" s="23">
        <v>45418</v>
      </c>
      <c r="F1325" s="23" t="s">
        <v>280</v>
      </c>
      <c r="G1325" s="25" t="s">
        <v>288</v>
      </c>
      <c r="H1325" s="24">
        <v>1</v>
      </c>
      <c r="I1325" s="25" t="s">
        <v>330</v>
      </c>
      <c r="J1325" s="32">
        <v>45373</v>
      </c>
      <c r="K1325" s="24">
        <v>0.8</v>
      </c>
      <c r="L1325" s="9">
        <f t="shared" si="119"/>
        <v>682</v>
      </c>
      <c r="M1325" s="4">
        <f>IF(Table3[[#This Row],[Afrondingsdatum YB]]="N/A","-",Table3[[#This Row],[Afrondingsdatum YB]]-Table3[[#This Row],[StartDatum]])</f>
        <v>45373</v>
      </c>
      <c r="N1325" s="4"/>
      <c r="O1325">
        <f t="shared" si="116"/>
        <v>103</v>
      </c>
      <c r="P1325">
        <f t="shared" si="116"/>
        <v>108</v>
      </c>
      <c r="Q1325">
        <f t="shared" si="116"/>
        <v>101</v>
      </c>
      <c r="R1325">
        <f t="shared" si="116"/>
        <v>110</v>
      </c>
      <c r="S1325">
        <f t="shared" si="116"/>
        <v>110</v>
      </c>
      <c r="T1325">
        <f t="shared" si="116"/>
        <v>46</v>
      </c>
      <c r="U1325">
        <f t="shared" si="116"/>
        <v>104</v>
      </c>
      <c r="V1325">
        <f t="shared" si="116"/>
        <v>101</v>
      </c>
      <c r="W1325" s="5">
        <f t="shared" si="117"/>
        <v>849</v>
      </c>
      <c r="X1325" s="9" t="str">
        <f t="shared" si="118"/>
        <v>l849</v>
      </c>
    </row>
    <row r="1326" spans="1:24" x14ac:dyDescent="0.2">
      <c r="A1326" s="9" t="s">
        <v>425</v>
      </c>
      <c r="B1326" s="9">
        <v>3</v>
      </c>
      <c r="C1326" s="25">
        <v>12</v>
      </c>
      <c r="D1326" s="25"/>
      <c r="E1326" s="23">
        <v>45418</v>
      </c>
      <c r="F1326" s="23" t="s">
        <v>283</v>
      </c>
      <c r="G1326" s="25" t="s">
        <v>289</v>
      </c>
      <c r="H1326" s="24">
        <v>1</v>
      </c>
      <c r="I1326" s="25" t="s">
        <v>342</v>
      </c>
      <c r="J1326" s="32">
        <v>45389</v>
      </c>
      <c r="K1326" s="24">
        <v>0.83</v>
      </c>
      <c r="L1326" s="9">
        <f t="shared" si="119"/>
        <v>675</v>
      </c>
      <c r="M1326" s="4">
        <f>IF(Table3[[#This Row],[Afrondingsdatum YB]]="N/A","-",Table3[[#This Row],[Afrondingsdatum YB]]-Table3[[#This Row],[StartDatum]])</f>
        <v>45389</v>
      </c>
      <c r="N1326" s="4"/>
      <c r="O1326">
        <f t="shared" si="116"/>
        <v>103</v>
      </c>
      <c r="P1326">
        <f t="shared" si="116"/>
        <v>114</v>
      </c>
      <c r="Q1326">
        <f t="shared" si="116"/>
        <v>97</v>
      </c>
      <c r="R1326">
        <f t="shared" si="116"/>
        <v>99</v>
      </c>
      <c r="S1326">
        <f t="shared" si="116"/>
        <v>101</v>
      </c>
      <c r="T1326">
        <f t="shared" si="116"/>
        <v>46</v>
      </c>
      <c r="U1326">
        <f t="shared" si="116"/>
        <v>115</v>
      </c>
      <c r="V1326">
        <f t="shared" si="116"/>
        <v>101</v>
      </c>
      <c r="W1326" s="5">
        <f t="shared" si="117"/>
        <v>839</v>
      </c>
      <c r="X1326" s="9" t="str">
        <f t="shared" si="118"/>
        <v>r839</v>
      </c>
    </row>
    <row r="1327" spans="1:24" x14ac:dyDescent="0.2">
      <c r="A1327" s="9" t="s">
        <v>425</v>
      </c>
      <c r="B1327" s="9">
        <v>3</v>
      </c>
      <c r="C1327" s="25">
        <v>12</v>
      </c>
      <c r="D1327" s="25"/>
      <c r="E1327" s="23">
        <v>45418</v>
      </c>
      <c r="F1327" s="23" t="s">
        <v>283</v>
      </c>
      <c r="G1327" s="25" t="s">
        <v>290</v>
      </c>
      <c r="H1327" s="24">
        <v>1</v>
      </c>
      <c r="I1327" s="25" t="s">
        <v>214</v>
      </c>
      <c r="J1327" s="32">
        <v>45358</v>
      </c>
      <c r="K1327" s="24">
        <v>0.78</v>
      </c>
      <c r="L1327" s="9">
        <f t="shared" si="119"/>
        <v>677</v>
      </c>
      <c r="M1327" s="4">
        <f>IF(Table3[[#This Row],[Afrondingsdatum YB]]="N/A","-",Table3[[#This Row],[Afrondingsdatum YB]]-Table3[[#This Row],[StartDatum]])</f>
        <v>45358</v>
      </c>
      <c r="N1327" s="4"/>
      <c r="O1327">
        <f t="shared" si="116"/>
        <v>105</v>
      </c>
      <c r="P1327">
        <f t="shared" si="116"/>
        <v>108</v>
      </c>
      <c r="Q1327">
        <f t="shared" si="116"/>
        <v>105</v>
      </c>
      <c r="R1327">
        <f t="shared" si="116"/>
        <v>97</v>
      </c>
      <c r="S1327">
        <f t="shared" si="116"/>
        <v>115</v>
      </c>
      <c r="T1327">
        <f t="shared" si="116"/>
        <v>46</v>
      </c>
      <c r="U1327">
        <f t="shared" si="116"/>
        <v>101</v>
      </c>
      <c r="V1327">
        <f t="shared" si="116"/>
        <v>108</v>
      </c>
      <c r="W1327" s="5">
        <f t="shared" si="117"/>
        <v>868</v>
      </c>
      <c r="X1327" s="9" t="str">
        <f t="shared" si="118"/>
        <v>l868</v>
      </c>
    </row>
    <row r="1328" spans="1:24" x14ac:dyDescent="0.2">
      <c r="A1328" s="9" t="s">
        <v>425</v>
      </c>
      <c r="B1328" s="9">
        <v>3</v>
      </c>
      <c r="C1328" s="25">
        <v>12</v>
      </c>
      <c r="D1328" s="25"/>
      <c r="E1328" s="23">
        <v>45418</v>
      </c>
      <c r="F1328" s="23" t="s">
        <v>283</v>
      </c>
      <c r="G1328" s="25" t="s">
        <v>291</v>
      </c>
      <c r="H1328" s="24">
        <v>1</v>
      </c>
      <c r="I1328" s="25" t="s">
        <v>184</v>
      </c>
      <c r="J1328" s="32">
        <v>45389</v>
      </c>
      <c r="K1328" s="24">
        <v>0.83</v>
      </c>
      <c r="L1328" s="9">
        <f t="shared" si="119"/>
        <v>638</v>
      </c>
      <c r="M1328" s="4">
        <f>IF(Table3[[#This Row],[Afrondingsdatum YB]]="N/A","-",Table3[[#This Row],[Afrondingsdatum YB]]-Table3[[#This Row],[StartDatum]])</f>
        <v>45389</v>
      </c>
      <c r="N1328" s="4"/>
      <c r="O1328">
        <f t="shared" si="116"/>
        <v>73</v>
      </c>
      <c r="P1328">
        <f t="shared" si="116"/>
        <v>115</v>
      </c>
      <c r="Q1328">
        <f t="shared" si="116"/>
        <v>97</v>
      </c>
      <c r="R1328">
        <f t="shared" si="116"/>
        <v>98</v>
      </c>
      <c r="S1328">
        <f t="shared" si="116"/>
        <v>101</v>
      </c>
      <c r="T1328">
        <f t="shared" si="116"/>
        <v>108</v>
      </c>
      <c r="U1328">
        <f t="shared" si="116"/>
        <v>46</v>
      </c>
      <c r="V1328">
        <f t="shared" si="116"/>
        <v>109</v>
      </c>
      <c r="W1328" s="5">
        <f t="shared" si="117"/>
        <v>810</v>
      </c>
      <c r="X1328" s="9" t="str">
        <f t="shared" si="118"/>
        <v>s810</v>
      </c>
    </row>
    <row r="1329" spans="1:24" x14ac:dyDescent="0.2">
      <c r="A1329" s="9" t="s">
        <v>425</v>
      </c>
      <c r="B1329" s="9">
        <v>3</v>
      </c>
      <c r="C1329" s="25">
        <v>12</v>
      </c>
      <c r="D1329" s="25"/>
      <c r="E1329" s="23">
        <v>45418</v>
      </c>
      <c r="F1329" s="23" t="s">
        <v>280</v>
      </c>
      <c r="G1329" s="25" t="s">
        <v>292</v>
      </c>
      <c r="H1329" s="24">
        <v>0.99</v>
      </c>
      <c r="I1329" s="25" t="s">
        <v>359</v>
      </c>
      <c r="J1329" s="32" t="s">
        <v>7</v>
      </c>
      <c r="K1329" s="24" t="s">
        <v>9</v>
      </c>
      <c r="L1329" s="9">
        <f t="shared" si="119"/>
        <v>673</v>
      </c>
      <c r="M1329" s="4" t="str">
        <f>IF(Table3[[#This Row],[Afrondingsdatum YB]]="N/A","-",Table3[[#This Row],[Afrondingsdatum YB]]-Table3[[#This Row],[StartDatum]])</f>
        <v>-</v>
      </c>
      <c r="N1329" s="4"/>
      <c r="O1329">
        <f t="shared" si="116"/>
        <v>106</v>
      </c>
      <c r="P1329">
        <f t="shared" si="116"/>
        <v>97</v>
      </c>
      <c r="Q1329">
        <f t="shared" si="116"/>
        <v>105</v>
      </c>
      <c r="R1329">
        <f t="shared" si="116"/>
        <v>114</v>
      </c>
      <c r="S1329">
        <f t="shared" si="116"/>
        <v>46</v>
      </c>
      <c r="T1329">
        <f t="shared" si="116"/>
        <v>104</v>
      </c>
      <c r="U1329">
        <f t="shared" si="116"/>
        <v>101</v>
      </c>
      <c r="V1329">
        <f t="shared" si="116"/>
        <v>107</v>
      </c>
      <c r="W1329" s="5">
        <f t="shared" si="117"/>
        <v>856</v>
      </c>
      <c r="X1329" s="9" t="str">
        <f t="shared" si="118"/>
        <v>a856</v>
      </c>
    </row>
    <row r="1330" spans="1:24" x14ac:dyDescent="0.2">
      <c r="A1330" s="9" t="s">
        <v>425</v>
      </c>
      <c r="B1330" s="9">
        <v>3</v>
      </c>
      <c r="C1330" s="25">
        <v>12</v>
      </c>
      <c r="D1330" s="25"/>
      <c r="E1330" s="23">
        <v>45418</v>
      </c>
      <c r="F1330" s="23" t="s">
        <v>283</v>
      </c>
      <c r="G1330" s="25" t="s">
        <v>293</v>
      </c>
      <c r="H1330" s="24">
        <v>1</v>
      </c>
      <c r="I1330" s="25" t="s">
        <v>314</v>
      </c>
      <c r="J1330" s="32">
        <v>45382</v>
      </c>
      <c r="K1330" s="24">
        <v>0.85</v>
      </c>
      <c r="L1330" s="9">
        <f t="shared" si="119"/>
        <v>692</v>
      </c>
      <c r="M1330" s="4">
        <f>IF(Table3[[#This Row],[Afrondingsdatum YB]]="N/A","-",Table3[[#This Row],[Afrondingsdatum YB]]-Table3[[#This Row],[StartDatum]])</f>
        <v>45382</v>
      </c>
      <c r="N1330" s="4"/>
      <c r="O1330">
        <f t="shared" si="116"/>
        <v>106</v>
      </c>
      <c r="P1330">
        <f t="shared" si="116"/>
        <v>101</v>
      </c>
      <c r="Q1330">
        <f t="shared" si="116"/>
        <v>115</v>
      </c>
      <c r="R1330">
        <f t="shared" si="116"/>
        <v>115</v>
      </c>
      <c r="S1330">
        <f t="shared" si="116"/>
        <v>101</v>
      </c>
      <c r="T1330">
        <f t="shared" si="116"/>
        <v>46</v>
      </c>
      <c r="U1330">
        <f t="shared" si="116"/>
        <v>108</v>
      </c>
      <c r="V1330">
        <f t="shared" si="116"/>
        <v>101</v>
      </c>
      <c r="W1330" s="5">
        <f t="shared" si="117"/>
        <v>886</v>
      </c>
      <c r="X1330" s="9" t="str">
        <f t="shared" si="118"/>
        <v>e886</v>
      </c>
    </row>
    <row r="1331" spans="1:24" x14ac:dyDescent="0.2">
      <c r="A1331" s="9" t="s">
        <v>425</v>
      </c>
      <c r="B1331" s="9">
        <v>3</v>
      </c>
      <c r="C1331" s="25">
        <v>12</v>
      </c>
      <c r="D1331" s="25"/>
      <c r="E1331" s="23">
        <v>45418</v>
      </c>
      <c r="F1331" s="23" t="s">
        <v>283</v>
      </c>
      <c r="G1331" s="25" t="s">
        <v>294</v>
      </c>
      <c r="H1331" s="24">
        <v>0.13</v>
      </c>
      <c r="I1331" s="25" t="s">
        <v>107</v>
      </c>
      <c r="J1331" s="32" t="s">
        <v>7</v>
      </c>
      <c r="K1331" s="24" t="s">
        <v>9</v>
      </c>
      <c r="L1331" s="9">
        <f t="shared" si="119"/>
        <v>681</v>
      </c>
      <c r="M1331" s="4" t="str">
        <f>IF(Table3[[#This Row],[Afrondingsdatum YB]]="N/A","-",Table3[[#This Row],[Afrondingsdatum YB]]-Table3[[#This Row],[StartDatum]])</f>
        <v>-</v>
      </c>
      <c r="N1331" s="4"/>
      <c r="O1331">
        <f t="shared" si="116"/>
        <v>106</v>
      </c>
      <c r="P1331">
        <f t="shared" si="116"/>
        <v>111</v>
      </c>
      <c r="Q1331">
        <f t="shared" si="116"/>
        <v>114</v>
      </c>
      <c r="R1331">
        <f t="shared" si="116"/>
        <v>100</v>
      </c>
      <c r="S1331">
        <f t="shared" ref="P1331:V1356" si="120">CODE(MID($G1331,S$1,1))</f>
        <v>46</v>
      </c>
      <c r="T1331">
        <f t="shared" si="120"/>
        <v>107</v>
      </c>
      <c r="U1331">
        <f t="shared" si="120"/>
        <v>97</v>
      </c>
      <c r="V1331">
        <f t="shared" si="120"/>
        <v>114</v>
      </c>
      <c r="W1331" s="5">
        <f t="shared" si="117"/>
        <v>893</v>
      </c>
      <c r="X1331" s="9" t="str">
        <f t="shared" si="118"/>
        <v>o893</v>
      </c>
    </row>
    <row r="1332" spans="1:24" x14ac:dyDescent="0.2">
      <c r="A1332" s="9" t="s">
        <v>425</v>
      </c>
      <c r="B1332" s="9">
        <v>3</v>
      </c>
      <c r="C1332" s="25">
        <v>12</v>
      </c>
      <c r="D1332" s="25"/>
      <c r="E1332" s="23">
        <v>45418</v>
      </c>
      <c r="F1332" s="23" t="s">
        <v>280</v>
      </c>
      <c r="G1332" s="25" t="s">
        <v>295</v>
      </c>
      <c r="H1332" s="24">
        <v>1</v>
      </c>
      <c r="I1332" s="25" t="s">
        <v>342</v>
      </c>
      <c r="J1332" s="32">
        <v>45378</v>
      </c>
      <c r="K1332" s="24">
        <v>0.75</v>
      </c>
      <c r="L1332" s="9">
        <f t="shared" si="119"/>
        <v>691</v>
      </c>
      <c r="M1332" s="4">
        <f>IF(Table3[[#This Row],[Afrondingsdatum YB]]="N/A","-",Table3[[#This Row],[Afrondingsdatum YB]]-Table3[[#This Row],[StartDatum]])</f>
        <v>45378</v>
      </c>
      <c r="N1332" s="4"/>
      <c r="O1332">
        <f t="shared" ref="O1332:O1356" si="121">CODE(MID($G1332,O$1,1))</f>
        <v>106</v>
      </c>
      <c r="P1332">
        <f t="shared" si="120"/>
        <v>111</v>
      </c>
      <c r="Q1332">
        <f t="shared" si="120"/>
        <v>121</v>
      </c>
      <c r="R1332">
        <f t="shared" si="120"/>
        <v>99</v>
      </c>
      <c r="S1332">
        <f t="shared" si="120"/>
        <v>101</v>
      </c>
      <c r="T1332">
        <f t="shared" si="120"/>
        <v>46</v>
      </c>
      <c r="U1332">
        <f t="shared" si="120"/>
        <v>107</v>
      </c>
      <c r="V1332">
        <f t="shared" si="120"/>
        <v>111</v>
      </c>
      <c r="W1332" s="5">
        <f t="shared" si="117"/>
        <v>914</v>
      </c>
      <c r="X1332" s="9" t="str">
        <f t="shared" si="118"/>
        <v>o914</v>
      </c>
    </row>
    <row r="1333" spans="1:24" x14ac:dyDescent="0.2">
      <c r="A1333" s="9" t="s">
        <v>425</v>
      </c>
      <c r="B1333" s="9">
        <v>3</v>
      </c>
      <c r="C1333" s="25">
        <v>12</v>
      </c>
      <c r="D1333" s="25"/>
      <c r="E1333" s="23">
        <v>45418</v>
      </c>
      <c r="F1333" s="23" t="s">
        <v>283</v>
      </c>
      <c r="G1333" s="25" t="s">
        <v>296</v>
      </c>
      <c r="H1333" s="24">
        <v>1</v>
      </c>
      <c r="I1333" s="25" t="s">
        <v>143</v>
      </c>
      <c r="J1333" s="32">
        <v>45391</v>
      </c>
      <c r="K1333" s="24">
        <v>0.78</v>
      </c>
      <c r="L1333" s="9">
        <f t="shared" si="119"/>
        <v>689</v>
      </c>
      <c r="M1333" s="4">
        <f>IF(Table3[[#This Row],[Afrondingsdatum YB]]="N/A","-",Table3[[#This Row],[Afrondingsdatum YB]]-Table3[[#This Row],[StartDatum]])</f>
        <v>45391</v>
      </c>
      <c r="N1333" s="4"/>
      <c r="O1333">
        <f t="shared" si="121"/>
        <v>106</v>
      </c>
      <c r="P1333">
        <f t="shared" si="120"/>
        <v>117</v>
      </c>
      <c r="Q1333">
        <f t="shared" si="120"/>
        <v>108</v>
      </c>
      <c r="R1333">
        <f t="shared" si="120"/>
        <v>105</v>
      </c>
      <c r="S1333">
        <f t="shared" si="120"/>
        <v>97</v>
      </c>
      <c r="T1333">
        <f t="shared" si="120"/>
        <v>110</v>
      </c>
      <c r="U1333">
        <f t="shared" si="120"/>
        <v>46</v>
      </c>
      <c r="V1333">
        <f t="shared" si="120"/>
        <v>109</v>
      </c>
      <c r="W1333" s="5">
        <f t="shared" si="117"/>
        <v>877</v>
      </c>
      <c r="X1333" s="9" t="str">
        <f t="shared" si="118"/>
        <v>u877</v>
      </c>
    </row>
    <row r="1334" spans="1:24" x14ac:dyDescent="0.2">
      <c r="A1334" s="9" t="s">
        <v>425</v>
      </c>
      <c r="B1334" s="9">
        <v>3</v>
      </c>
      <c r="C1334" s="25">
        <v>12</v>
      </c>
      <c r="D1334" s="25"/>
      <c r="E1334" s="23">
        <v>45418</v>
      </c>
      <c r="F1334" s="23" t="s">
        <v>283</v>
      </c>
      <c r="G1334" s="25" t="s">
        <v>297</v>
      </c>
      <c r="H1334" s="24">
        <v>1</v>
      </c>
      <c r="I1334" s="25" t="s">
        <v>77</v>
      </c>
      <c r="J1334" s="32">
        <v>45396</v>
      </c>
      <c r="K1334" s="24">
        <v>0.83</v>
      </c>
      <c r="L1334" s="9">
        <f t="shared" si="119"/>
        <v>698</v>
      </c>
      <c r="M1334" s="4">
        <f>IF(Table3[[#This Row],[Afrondingsdatum YB]]="N/A","-",Table3[[#This Row],[Afrondingsdatum YB]]-Table3[[#This Row],[StartDatum]])</f>
        <v>45396</v>
      </c>
      <c r="N1334" s="4"/>
      <c r="O1334">
        <f t="shared" si="121"/>
        <v>106</v>
      </c>
      <c r="P1334">
        <f t="shared" si="120"/>
        <v>117</v>
      </c>
      <c r="Q1334">
        <f t="shared" si="120"/>
        <v>114</v>
      </c>
      <c r="R1334">
        <f t="shared" si="120"/>
        <v>114</v>
      </c>
      <c r="S1334">
        <f t="shared" si="120"/>
        <v>101</v>
      </c>
      <c r="T1334">
        <f t="shared" si="120"/>
        <v>46</v>
      </c>
      <c r="U1334">
        <f t="shared" si="120"/>
        <v>100</v>
      </c>
      <c r="V1334">
        <f t="shared" si="120"/>
        <v>101</v>
      </c>
      <c r="W1334" s="5">
        <f t="shared" si="117"/>
        <v>883</v>
      </c>
      <c r="X1334" s="9" t="str">
        <f t="shared" si="118"/>
        <v>u883</v>
      </c>
    </row>
    <row r="1335" spans="1:24" x14ac:dyDescent="0.2">
      <c r="A1335" s="9" t="s">
        <v>425</v>
      </c>
      <c r="B1335" s="9">
        <v>3</v>
      </c>
      <c r="C1335" s="25">
        <v>12</v>
      </c>
      <c r="D1335" s="25"/>
      <c r="E1335" s="23">
        <v>45418</v>
      </c>
      <c r="F1335" s="23" t="s">
        <v>280</v>
      </c>
      <c r="G1335" s="25" t="s">
        <v>298</v>
      </c>
      <c r="H1335" s="24">
        <v>0.02</v>
      </c>
      <c r="I1335" s="25" t="s">
        <v>326</v>
      </c>
      <c r="J1335" s="32" t="s">
        <v>7</v>
      </c>
      <c r="K1335" s="24" t="s">
        <v>9</v>
      </c>
      <c r="L1335" s="9">
        <f t="shared" si="119"/>
        <v>685</v>
      </c>
      <c r="M1335" s="4" t="str">
        <f>IF(Table3[[#This Row],[Afrondingsdatum YB]]="N/A","-",Table3[[#This Row],[Afrondingsdatum YB]]-Table3[[#This Row],[StartDatum]])</f>
        <v>-</v>
      </c>
      <c r="N1335" s="4"/>
      <c r="O1335">
        <f t="shared" si="121"/>
        <v>75</v>
      </c>
      <c r="P1335">
        <f t="shared" si="120"/>
        <v>121</v>
      </c>
      <c r="Q1335">
        <f t="shared" si="120"/>
        <v>114</v>
      </c>
      <c r="R1335">
        <f t="shared" si="120"/>
        <v>111</v>
      </c>
      <c r="S1335">
        <f t="shared" si="120"/>
        <v>110</v>
      </c>
      <c r="T1335">
        <f t="shared" si="120"/>
        <v>46</v>
      </c>
      <c r="U1335">
        <f t="shared" si="120"/>
        <v>108</v>
      </c>
      <c r="V1335">
        <f t="shared" si="120"/>
        <v>101</v>
      </c>
      <c r="W1335" s="5">
        <f t="shared" si="117"/>
        <v>870</v>
      </c>
      <c r="X1335" s="9" t="str">
        <f t="shared" si="118"/>
        <v>y870</v>
      </c>
    </row>
    <row r="1336" spans="1:24" x14ac:dyDescent="0.2">
      <c r="A1336" s="9" t="s">
        <v>425</v>
      </c>
      <c r="B1336" s="9">
        <v>3</v>
      </c>
      <c r="C1336" s="25">
        <v>12</v>
      </c>
      <c r="D1336" s="25"/>
      <c r="E1336" s="23">
        <v>45418</v>
      </c>
      <c r="F1336" s="23" t="s">
        <v>280</v>
      </c>
      <c r="G1336" s="25" t="s">
        <v>300</v>
      </c>
      <c r="H1336" s="24">
        <v>0.14000000000000001</v>
      </c>
      <c r="I1336" s="25" t="s">
        <v>184</v>
      </c>
      <c r="J1336" s="32" t="s">
        <v>7</v>
      </c>
      <c r="K1336" s="24" t="s">
        <v>9</v>
      </c>
      <c r="L1336" s="9">
        <f t="shared" si="119"/>
        <v>761</v>
      </c>
      <c r="M1336" s="4" t="str">
        <f>IF(Table3[[#This Row],[Afrondingsdatum YB]]="N/A","-",Table3[[#This Row],[Afrondingsdatum YB]]-Table3[[#This Row],[StartDatum]])</f>
        <v>-</v>
      </c>
      <c r="N1336" s="4"/>
      <c r="O1336">
        <f t="shared" si="121"/>
        <v>108</v>
      </c>
      <c r="P1336">
        <f t="shared" si="120"/>
        <v>117</v>
      </c>
      <c r="Q1336">
        <f t="shared" si="120"/>
        <v>99</v>
      </c>
      <c r="R1336">
        <f t="shared" si="120"/>
        <v>105</v>
      </c>
      <c r="S1336">
        <f t="shared" si="120"/>
        <v>97</v>
      </c>
      <c r="T1336">
        <f t="shared" si="120"/>
        <v>121</v>
      </c>
      <c r="U1336">
        <f t="shared" si="120"/>
        <v>114</v>
      </c>
      <c r="V1336">
        <f t="shared" si="120"/>
        <v>111</v>
      </c>
      <c r="W1336" s="5">
        <f t="shared" si="117"/>
        <v>933</v>
      </c>
      <c r="X1336" s="9" t="str">
        <f t="shared" si="118"/>
        <v>u933</v>
      </c>
    </row>
    <row r="1337" spans="1:24" x14ac:dyDescent="0.2">
      <c r="A1337" s="9" t="s">
        <v>425</v>
      </c>
      <c r="B1337" s="9">
        <v>3</v>
      </c>
      <c r="C1337" s="25">
        <v>12</v>
      </c>
      <c r="D1337" s="25"/>
      <c r="E1337" s="23">
        <v>45418</v>
      </c>
      <c r="F1337" s="23" t="s">
        <v>283</v>
      </c>
      <c r="G1337" s="25" t="s">
        <v>301</v>
      </c>
      <c r="H1337" s="24">
        <v>1</v>
      </c>
      <c r="I1337" s="25" t="s">
        <v>345</v>
      </c>
      <c r="J1337" s="32">
        <v>45380</v>
      </c>
      <c r="K1337" s="24">
        <v>0.78</v>
      </c>
      <c r="L1337" s="9">
        <f t="shared" si="119"/>
        <v>762</v>
      </c>
      <c r="M1337" s="4">
        <f>IF(Table3[[#This Row],[Afrondingsdatum YB]]="N/A","-",Table3[[#This Row],[Afrondingsdatum YB]]-Table3[[#This Row],[StartDatum]])</f>
        <v>45380</v>
      </c>
      <c r="N1337" s="4"/>
      <c r="O1337">
        <f t="shared" si="121"/>
        <v>108</v>
      </c>
      <c r="P1337">
        <f t="shared" si="120"/>
        <v>121</v>
      </c>
      <c r="Q1337">
        <f t="shared" si="120"/>
        <v>115</v>
      </c>
      <c r="R1337">
        <f t="shared" si="120"/>
        <v>97</v>
      </c>
      <c r="S1337">
        <f t="shared" si="120"/>
        <v>110</v>
      </c>
      <c r="T1337">
        <f t="shared" si="120"/>
        <v>110</v>
      </c>
      <c r="U1337">
        <f t="shared" si="120"/>
        <v>101</v>
      </c>
      <c r="V1337">
        <f t="shared" si="120"/>
        <v>46</v>
      </c>
      <c r="W1337" s="5">
        <f t="shared" si="117"/>
        <v>905</v>
      </c>
      <c r="X1337" s="9" t="str">
        <f t="shared" si="118"/>
        <v>y905</v>
      </c>
    </row>
    <row r="1338" spans="1:24" x14ac:dyDescent="0.2">
      <c r="A1338" s="9" t="s">
        <v>425</v>
      </c>
      <c r="B1338" s="9">
        <v>3</v>
      </c>
      <c r="C1338" s="25">
        <v>12</v>
      </c>
      <c r="D1338" s="25"/>
      <c r="E1338" s="23">
        <v>45418</v>
      </c>
      <c r="F1338" s="23" t="s">
        <v>283</v>
      </c>
      <c r="G1338" s="25" t="s">
        <v>302</v>
      </c>
      <c r="H1338" s="24">
        <v>1</v>
      </c>
      <c r="I1338" s="25" t="s">
        <v>207</v>
      </c>
      <c r="J1338" s="32">
        <v>45348</v>
      </c>
      <c r="K1338" s="24">
        <v>0.95</v>
      </c>
      <c r="L1338" s="9">
        <f t="shared" si="119"/>
        <v>697</v>
      </c>
      <c r="M1338" s="4">
        <f>IF(Table3[[#This Row],[Afrondingsdatum YB]]="N/A","-",Table3[[#This Row],[Afrondingsdatum YB]]-Table3[[#This Row],[StartDatum]])</f>
        <v>45348</v>
      </c>
      <c r="N1338" s="4"/>
      <c r="O1338">
        <f t="shared" si="121"/>
        <v>109</v>
      </c>
      <c r="P1338">
        <f t="shared" si="120"/>
        <v>101</v>
      </c>
      <c r="Q1338">
        <f t="shared" si="120"/>
        <v>108</v>
      </c>
      <c r="R1338">
        <f t="shared" si="120"/>
        <v>118</v>
      </c>
      <c r="S1338">
        <f t="shared" si="120"/>
        <v>105</v>
      </c>
      <c r="T1338">
        <f t="shared" si="120"/>
        <v>110</v>
      </c>
      <c r="U1338">
        <f t="shared" si="120"/>
        <v>46</v>
      </c>
      <c r="V1338">
        <f t="shared" si="120"/>
        <v>98</v>
      </c>
      <c r="W1338" s="5">
        <f t="shared" si="117"/>
        <v>872</v>
      </c>
      <c r="X1338" s="9" t="str">
        <f t="shared" si="118"/>
        <v>e872</v>
      </c>
    </row>
    <row r="1339" spans="1:24" x14ac:dyDescent="0.2">
      <c r="A1339" s="9" t="s">
        <v>425</v>
      </c>
      <c r="B1339" s="9">
        <v>3</v>
      </c>
      <c r="C1339" s="25">
        <v>12</v>
      </c>
      <c r="D1339" s="25"/>
      <c r="E1339" s="23">
        <v>45418</v>
      </c>
      <c r="F1339" s="23" t="s">
        <v>280</v>
      </c>
      <c r="G1339" s="25" t="s">
        <v>339</v>
      </c>
      <c r="H1339" s="24">
        <v>0</v>
      </c>
      <c r="I1339" s="25" t="s">
        <v>8</v>
      </c>
      <c r="J1339" s="32" t="s">
        <v>7</v>
      </c>
      <c r="K1339" s="24" t="s">
        <v>9</v>
      </c>
      <c r="L1339" s="9">
        <f t="shared" si="119"/>
        <v>731</v>
      </c>
      <c r="M1339" s="4" t="str">
        <f>IF(Table3[[#This Row],[Afrondingsdatum YB]]="N/A","-",Table3[[#This Row],[Afrondingsdatum YB]]-Table3[[#This Row],[StartDatum]])</f>
        <v>-</v>
      </c>
      <c r="N1339" s="4"/>
      <c r="O1339">
        <f t="shared" si="121"/>
        <v>109</v>
      </c>
      <c r="P1339">
        <f t="shared" si="120"/>
        <v>111</v>
      </c>
      <c r="Q1339">
        <f t="shared" si="120"/>
        <v>104</v>
      </c>
      <c r="R1339">
        <f t="shared" si="120"/>
        <v>97</v>
      </c>
      <c r="S1339">
        <f t="shared" si="120"/>
        <v>109</v>
      </c>
      <c r="T1339">
        <f t="shared" si="120"/>
        <v>101</v>
      </c>
      <c r="U1339">
        <f t="shared" si="120"/>
        <v>100</v>
      </c>
      <c r="V1339">
        <f t="shared" si="120"/>
        <v>46</v>
      </c>
      <c r="W1339" s="5">
        <f t="shared" si="117"/>
        <v>857</v>
      </c>
      <c r="X1339" s="9" t="str">
        <f t="shared" si="118"/>
        <v>o857</v>
      </c>
    </row>
    <row r="1340" spans="1:24" x14ac:dyDescent="0.2">
      <c r="A1340" s="9" t="s">
        <v>425</v>
      </c>
      <c r="B1340" s="9">
        <v>3</v>
      </c>
      <c r="C1340" s="25">
        <v>12</v>
      </c>
      <c r="D1340" s="25"/>
      <c r="E1340" s="23">
        <v>45418</v>
      </c>
      <c r="F1340" s="23" t="s">
        <v>283</v>
      </c>
      <c r="G1340" s="25" t="s">
        <v>303</v>
      </c>
      <c r="H1340" s="24">
        <v>1</v>
      </c>
      <c r="I1340" s="25" t="s">
        <v>185</v>
      </c>
      <c r="J1340" s="32">
        <v>45383</v>
      </c>
      <c r="K1340" s="24">
        <v>0.75</v>
      </c>
      <c r="L1340" s="9">
        <f t="shared" si="119"/>
        <v>691</v>
      </c>
      <c r="M1340" s="4">
        <f>IF(Table3[[#This Row],[Afrondingsdatum YB]]="N/A","-",Table3[[#This Row],[Afrondingsdatum YB]]-Table3[[#This Row],[StartDatum]])</f>
        <v>45383</v>
      </c>
      <c r="N1340" s="4"/>
      <c r="O1340">
        <f t="shared" si="121"/>
        <v>109</v>
      </c>
      <c r="P1340">
        <f t="shared" si="120"/>
        <v>111</v>
      </c>
      <c r="Q1340">
        <f t="shared" si="120"/>
        <v>104</v>
      </c>
      <c r="R1340">
        <f t="shared" si="120"/>
        <v>105</v>
      </c>
      <c r="S1340">
        <f t="shared" si="120"/>
        <v>116</v>
      </c>
      <c r="T1340">
        <f t="shared" si="120"/>
        <v>46</v>
      </c>
      <c r="U1340">
        <f t="shared" si="120"/>
        <v>100</v>
      </c>
      <c r="V1340">
        <f t="shared" si="120"/>
        <v>97</v>
      </c>
      <c r="W1340" s="5">
        <f t="shared" si="117"/>
        <v>862</v>
      </c>
      <c r="X1340" s="9" t="str">
        <f t="shared" si="118"/>
        <v>o862</v>
      </c>
    </row>
    <row r="1341" spans="1:24" x14ac:dyDescent="0.2">
      <c r="A1341" s="9" t="s">
        <v>425</v>
      </c>
      <c r="B1341" s="9">
        <v>3</v>
      </c>
      <c r="C1341" s="25">
        <v>12</v>
      </c>
      <c r="D1341" s="25"/>
      <c r="E1341" s="23">
        <v>45418</v>
      </c>
      <c r="F1341" s="23" t="s">
        <v>280</v>
      </c>
      <c r="G1341" s="25" t="s">
        <v>304</v>
      </c>
      <c r="H1341" s="24">
        <v>0.22</v>
      </c>
      <c r="I1341" s="25" t="s">
        <v>328</v>
      </c>
      <c r="J1341" s="32" t="s">
        <v>7</v>
      </c>
      <c r="K1341" s="24" t="s">
        <v>9</v>
      </c>
      <c r="L1341" s="9">
        <f t="shared" si="119"/>
        <v>706</v>
      </c>
      <c r="M1341" s="4" t="str">
        <f>IF(Table3[[#This Row],[Afrondingsdatum YB]]="N/A","-",Table3[[#This Row],[Afrondingsdatum YB]]-Table3[[#This Row],[StartDatum]])</f>
        <v>-</v>
      </c>
      <c r="N1341" s="4"/>
      <c r="O1341">
        <f t="shared" si="121"/>
        <v>109</v>
      </c>
      <c r="P1341">
        <f t="shared" si="120"/>
        <v>111</v>
      </c>
      <c r="Q1341">
        <f t="shared" si="120"/>
        <v>108</v>
      </c>
      <c r="R1341">
        <f t="shared" si="120"/>
        <v>105</v>
      </c>
      <c r="S1341">
        <f t="shared" si="120"/>
        <v>116</v>
      </c>
      <c r="T1341">
        <f t="shared" si="120"/>
        <v>111</v>
      </c>
      <c r="U1341">
        <f t="shared" si="120"/>
        <v>46</v>
      </c>
      <c r="V1341">
        <f t="shared" si="120"/>
        <v>102</v>
      </c>
      <c r="W1341" s="5">
        <f t="shared" si="117"/>
        <v>890</v>
      </c>
      <c r="X1341" s="9" t="str">
        <f t="shared" si="118"/>
        <v>o890</v>
      </c>
    </row>
    <row r="1342" spans="1:24" x14ac:dyDescent="0.2">
      <c r="A1342" s="9" t="s">
        <v>425</v>
      </c>
      <c r="B1342" s="9">
        <v>3</v>
      </c>
      <c r="C1342" s="25">
        <v>12</v>
      </c>
      <c r="D1342" s="25"/>
      <c r="E1342" s="23">
        <v>45418</v>
      </c>
      <c r="F1342" s="23" t="s">
        <v>283</v>
      </c>
      <c r="G1342" s="25" t="s">
        <v>305</v>
      </c>
      <c r="H1342" s="24">
        <v>1</v>
      </c>
      <c r="I1342" s="25" t="s">
        <v>346</v>
      </c>
      <c r="J1342" s="32">
        <v>45377</v>
      </c>
      <c r="K1342" s="24">
        <v>0.83</v>
      </c>
      <c r="L1342" s="9">
        <f t="shared" si="119"/>
        <v>726</v>
      </c>
      <c r="M1342" s="4">
        <f>IF(Table3[[#This Row],[Afrondingsdatum YB]]="N/A","-",Table3[[#This Row],[Afrondingsdatum YB]]-Table3[[#This Row],[StartDatum]])</f>
        <v>45377</v>
      </c>
      <c r="N1342" s="4"/>
      <c r="O1342">
        <f t="shared" si="121"/>
        <v>77</v>
      </c>
      <c r="P1342">
        <f t="shared" si="120"/>
        <v>117</v>
      </c>
      <c r="Q1342">
        <f t="shared" si="120"/>
        <v>100</v>
      </c>
      <c r="R1342">
        <f t="shared" si="120"/>
        <v>97</v>
      </c>
      <c r="S1342">
        <f t="shared" si="120"/>
        <v>115</v>
      </c>
      <c r="T1342">
        <f t="shared" si="120"/>
        <v>115</v>
      </c>
      <c r="U1342">
        <f t="shared" si="120"/>
        <v>105</v>
      </c>
      <c r="V1342">
        <f t="shared" si="120"/>
        <v>114</v>
      </c>
      <c r="W1342" s="5">
        <f t="shared" si="117"/>
        <v>909</v>
      </c>
      <c r="X1342" s="9" t="str">
        <f t="shared" si="118"/>
        <v>u909</v>
      </c>
    </row>
    <row r="1343" spans="1:24" x14ac:dyDescent="0.2">
      <c r="A1343" s="9" t="s">
        <v>425</v>
      </c>
      <c r="B1343" s="9">
        <v>3</v>
      </c>
      <c r="C1343" s="25">
        <v>12</v>
      </c>
      <c r="D1343" s="25"/>
      <c r="E1343" s="23">
        <v>45418</v>
      </c>
      <c r="F1343" s="23" t="s">
        <v>280</v>
      </c>
      <c r="G1343" s="25" t="s">
        <v>306</v>
      </c>
      <c r="H1343" s="24">
        <v>1</v>
      </c>
      <c r="I1343" s="25" t="s">
        <v>252</v>
      </c>
      <c r="J1343" s="32">
        <v>45392</v>
      </c>
      <c r="K1343" s="24">
        <v>0.78</v>
      </c>
      <c r="L1343" s="9">
        <f t="shared" si="119"/>
        <v>684</v>
      </c>
      <c r="M1343" s="4">
        <f>IF(Table3[[#This Row],[Afrondingsdatum YB]]="N/A","-",Table3[[#This Row],[Afrondingsdatum YB]]-Table3[[#This Row],[StartDatum]])</f>
        <v>45392</v>
      </c>
      <c r="N1343" s="4"/>
      <c r="O1343">
        <f t="shared" si="121"/>
        <v>110</v>
      </c>
      <c r="P1343">
        <f t="shared" si="120"/>
        <v>97</v>
      </c>
      <c r="Q1343">
        <f t="shared" si="120"/>
        <v>114</v>
      </c>
      <c r="R1343">
        <f t="shared" si="120"/>
        <v>101</v>
      </c>
      <c r="S1343">
        <f t="shared" si="120"/>
        <v>107</v>
      </c>
      <c r="T1343">
        <f t="shared" si="120"/>
        <v>46</v>
      </c>
      <c r="U1343">
        <f t="shared" si="120"/>
        <v>109</v>
      </c>
      <c r="V1343">
        <f t="shared" si="120"/>
        <v>97</v>
      </c>
      <c r="W1343" s="5">
        <f t="shared" si="117"/>
        <v>885</v>
      </c>
      <c r="X1343" s="9" t="str">
        <f t="shared" si="118"/>
        <v>a885</v>
      </c>
    </row>
    <row r="1344" spans="1:24" x14ac:dyDescent="0.2">
      <c r="A1344" s="9" t="s">
        <v>425</v>
      </c>
      <c r="B1344" s="9">
        <v>3</v>
      </c>
      <c r="C1344" s="25">
        <v>12</v>
      </c>
      <c r="D1344" s="25"/>
      <c r="E1344" s="23">
        <v>45418</v>
      </c>
      <c r="F1344" s="23" t="s">
        <v>280</v>
      </c>
      <c r="G1344" s="25" t="s">
        <v>347</v>
      </c>
      <c r="H1344" s="24">
        <v>0.05</v>
      </c>
      <c r="I1344" s="25" t="s">
        <v>96</v>
      </c>
      <c r="J1344" s="32" t="s">
        <v>7</v>
      </c>
      <c r="K1344" s="24" t="s">
        <v>9</v>
      </c>
      <c r="L1344" s="9">
        <f t="shared" si="119"/>
        <v>672</v>
      </c>
      <c r="M1344" s="4" t="str">
        <f>IF(Table3[[#This Row],[Afrondingsdatum YB]]="N/A","-",Table3[[#This Row],[Afrondingsdatum YB]]-Table3[[#This Row],[StartDatum]])</f>
        <v>-</v>
      </c>
      <c r="N1344" s="4"/>
      <c r="O1344">
        <f t="shared" si="121"/>
        <v>111</v>
      </c>
      <c r="P1344">
        <f t="shared" si="120"/>
        <v>109</v>
      </c>
      <c r="Q1344">
        <f t="shared" si="120"/>
        <v>97</v>
      </c>
      <c r="R1344">
        <f t="shared" si="120"/>
        <v>114</v>
      </c>
      <c r="S1344">
        <f t="shared" si="120"/>
        <v>46</v>
      </c>
      <c r="T1344">
        <f t="shared" si="120"/>
        <v>97</v>
      </c>
      <c r="U1344">
        <f t="shared" si="120"/>
        <v>98</v>
      </c>
      <c r="V1344">
        <f t="shared" si="120"/>
        <v>100</v>
      </c>
      <c r="W1344" s="5">
        <f t="shared" si="117"/>
        <v>826</v>
      </c>
      <c r="X1344" s="9" t="str">
        <f t="shared" si="118"/>
        <v>m826</v>
      </c>
    </row>
    <row r="1345" spans="1:24" x14ac:dyDescent="0.2">
      <c r="A1345" s="9" t="s">
        <v>425</v>
      </c>
      <c r="B1345" s="9">
        <v>3</v>
      </c>
      <c r="C1345" s="25">
        <v>12</v>
      </c>
      <c r="D1345" s="25"/>
      <c r="E1345" s="23">
        <v>45418</v>
      </c>
      <c r="F1345" s="23" t="s">
        <v>283</v>
      </c>
      <c r="G1345" s="25" t="s">
        <v>307</v>
      </c>
      <c r="H1345" s="24">
        <v>1</v>
      </c>
      <c r="I1345" s="25" t="s">
        <v>243</v>
      </c>
      <c r="J1345" s="32">
        <v>45345</v>
      </c>
      <c r="K1345" s="24">
        <v>0.98</v>
      </c>
      <c r="L1345" s="9">
        <f t="shared" si="119"/>
        <v>695</v>
      </c>
      <c r="M1345" s="4">
        <f>IF(Table3[[#This Row],[Afrondingsdatum YB]]="N/A","-",Table3[[#This Row],[Afrondingsdatum YB]]-Table3[[#This Row],[StartDatum]])</f>
        <v>45345</v>
      </c>
      <c r="N1345" s="4"/>
      <c r="O1345">
        <f t="shared" si="121"/>
        <v>114</v>
      </c>
      <c r="P1345">
        <f t="shared" si="120"/>
        <v>101</v>
      </c>
      <c r="Q1345">
        <f t="shared" si="120"/>
        <v>109</v>
      </c>
      <c r="R1345">
        <f t="shared" si="120"/>
        <v>121</v>
      </c>
      <c r="S1345">
        <f t="shared" si="120"/>
        <v>46</v>
      </c>
      <c r="T1345">
        <f t="shared" si="120"/>
        <v>97</v>
      </c>
      <c r="U1345">
        <f t="shared" si="120"/>
        <v>107</v>
      </c>
      <c r="V1345">
        <f t="shared" si="120"/>
        <v>98</v>
      </c>
      <c r="W1345" s="5">
        <f t="shared" si="117"/>
        <v>870</v>
      </c>
      <c r="X1345" s="9" t="str">
        <f t="shared" si="118"/>
        <v>e870</v>
      </c>
    </row>
    <row r="1346" spans="1:24" x14ac:dyDescent="0.2">
      <c r="A1346" s="9" t="s">
        <v>425</v>
      </c>
      <c r="B1346" s="9">
        <v>3</v>
      </c>
      <c r="C1346" s="25">
        <v>12</v>
      </c>
      <c r="D1346" s="25"/>
      <c r="E1346" s="23">
        <v>45418</v>
      </c>
      <c r="F1346" s="23" t="s">
        <v>283</v>
      </c>
      <c r="G1346" s="25" t="s">
        <v>348</v>
      </c>
      <c r="H1346" s="24">
        <v>1</v>
      </c>
      <c r="I1346" s="25" t="s">
        <v>205</v>
      </c>
      <c r="J1346" s="32">
        <v>45378</v>
      </c>
      <c r="K1346" s="24">
        <v>0.73</v>
      </c>
      <c r="L1346" s="9">
        <f t="shared" si="119"/>
        <v>766</v>
      </c>
      <c r="M1346" s="4">
        <f>IF(Table3[[#This Row],[Afrondingsdatum YB]]="N/A","-",Table3[[#This Row],[Afrondingsdatum YB]]-Table3[[#This Row],[StartDatum]])</f>
        <v>45378</v>
      </c>
      <c r="N1346" s="4"/>
      <c r="O1346">
        <f t="shared" si="121"/>
        <v>114</v>
      </c>
      <c r="P1346">
        <f t="shared" si="120"/>
        <v>111</v>
      </c>
      <c r="Q1346">
        <f t="shared" si="120"/>
        <v>109</v>
      </c>
      <c r="R1346">
        <f t="shared" si="120"/>
        <v>97</v>
      </c>
      <c r="S1346">
        <f t="shared" si="120"/>
        <v>105</v>
      </c>
      <c r="T1346">
        <f t="shared" si="120"/>
        <v>115</v>
      </c>
      <c r="U1346">
        <f t="shared" si="120"/>
        <v>115</v>
      </c>
      <c r="V1346">
        <f t="shared" si="120"/>
        <v>97</v>
      </c>
      <c r="W1346" s="5">
        <f t="shared" si="117"/>
        <v>953</v>
      </c>
      <c r="X1346" s="9" t="str">
        <f t="shared" si="118"/>
        <v>o953</v>
      </c>
    </row>
    <row r="1347" spans="1:24" x14ac:dyDescent="0.2">
      <c r="A1347" s="9" t="s">
        <v>425</v>
      </c>
      <c r="B1347" s="9">
        <v>3</v>
      </c>
      <c r="C1347" s="25">
        <v>12</v>
      </c>
      <c r="D1347" s="25"/>
      <c r="E1347" s="23">
        <v>45418</v>
      </c>
      <c r="F1347" s="23" t="s">
        <v>280</v>
      </c>
      <c r="G1347" s="25" t="s">
        <v>308</v>
      </c>
      <c r="H1347" s="24">
        <v>0.99</v>
      </c>
      <c r="I1347" s="25" t="s">
        <v>355</v>
      </c>
      <c r="J1347" s="32" t="s">
        <v>7</v>
      </c>
      <c r="K1347" s="24" t="s">
        <v>9</v>
      </c>
      <c r="L1347" s="9">
        <f t="shared" si="119"/>
        <v>712</v>
      </c>
      <c r="M1347" s="4" t="str">
        <f>IF(Table3[[#This Row],[Afrondingsdatum YB]]="N/A","-",Table3[[#This Row],[Afrondingsdatum YB]]-Table3[[#This Row],[StartDatum]])</f>
        <v>-</v>
      </c>
      <c r="N1347" s="4"/>
      <c r="O1347">
        <f t="shared" si="121"/>
        <v>114</v>
      </c>
      <c r="P1347">
        <f t="shared" si="120"/>
        <v>111</v>
      </c>
      <c r="Q1347">
        <f t="shared" si="120"/>
        <v>119</v>
      </c>
      <c r="R1347">
        <f t="shared" si="120"/>
        <v>97</v>
      </c>
      <c r="S1347">
        <f t="shared" si="120"/>
        <v>110</v>
      </c>
      <c r="T1347">
        <f t="shared" si="120"/>
        <v>46</v>
      </c>
      <c r="U1347">
        <f t="shared" si="120"/>
        <v>115</v>
      </c>
      <c r="V1347">
        <f t="shared" si="120"/>
        <v>97</v>
      </c>
      <c r="W1347" s="5">
        <f t="shared" si="117"/>
        <v>919</v>
      </c>
      <c r="X1347" s="9" t="str">
        <f t="shared" si="118"/>
        <v>o919</v>
      </c>
    </row>
    <row r="1348" spans="1:24" x14ac:dyDescent="0.2">
      <c r="A1348" s="9" t="s">
        <v>425</v>
      </c>
      <c r="B1348" s="9">
        <v>3</v>
      </c>
      <c r="C1348" s="25">
        <v>12</v>
      </c>
      <c r="D1348" s="25"/>
      <c r="E1348" s="23">
        <v>45418</v>
      </c>
      <c r="F1348" s="23" t="s">
        <v>283</v>
      </c>
      <c r="G1348" s="25" t="s">
        <v>309</v>
      </c>
      <c r="H1348" s="24">
        <v>1</v>
      </c>
      <c r="I1348" s="25" t="s">
        <v>351</v>
      </c>
      <c r="J1348" s="32">
        <v>45384</v>
      </c>
      <c r="K1348" s="24">
        <v>0.7</v>
      </c>
      <c r="L1348" s="9">
        <f t="shared" si="119"/>
        <v>736</v>
      </c>
      <c r="M1348" s="4">
        <f>IF(Table3[[#This Row],[Afrondingsdatum YB]]="N/A","-",Table3[[#This Row],[Afrondingsdatum YB]]-Table3[[#This Row],[StartDatum]])</f>
        <v>45384</v>
      </c>
      <c r="N1348" s="4"/>
      <c r="O1348">
        <f t="shared" si="121"/>
        <v>115</v>
      </c>
      <c r="P1348">
        <f t="shared" si="120"/>
        <v>97</v>
      </c>
      <c r="Q1348">
        <f t="shared" si="120"/>
        <v>121</v>
      </c>
      <c r="R1348">
        <f t="shared" si="120"/>
        <v>102</v>
      </c>
      <c r="S1348">
        <f t="shared" si="120"/>
        <v>101</v>
      </c>
      <c r="T1348">
        <f t="shared" si="120"/>
        <v>100</v>
      </c>
      <c r="U1348">
        <f t="shared" si="120"/>
        <v>100</v>
      </c>
      <c r="V1348">
        <f t="shared" si="120"/>
        <v>105</v>
      </c>
      <c r="W1348" s="5">
        <f t="shared" si="117"/>
        <v>958</v>
      </c>
      <c r="X1348" s="9" t="str">
        <f t="shared" si="118"/>
        <v>a958</v>
      </c>
    </row>
    <row r="1349" spans="1:24" x14ac:dyDescent="0.2">
      <c r="A1349" s="9" t="s">
        <v>425</v>
      </c>
      <c r="B1349" s="9">
        <v>3</v>
      </c>
      <c r="C1349" s="25">
        <v>12</v>
      </c>
      <c r="D1349" s="25"/>
      <c r="E1349" s="23">
        <v>45418</v>
      </c>
      <c r="F1349" s="23" t="s">
        <v>280</v>
      </c>
      <c r="G1349" s="25" t="s">
        <v>318</v>
      </c>
      <c r="H1349" s="24">
        <v>0.39</v>
      </c>
      <c r="I1349" s="25" t="s">
        <v>330</v>
      </c>
      <c r="J1349" s="32" t="s">
        <v>7</v>
      </c>
      <c r="K1349" s="24" t="s">
        <v>9</v>
      </c>
      <c r="L1349" s="9">
        <f t="shared" si="119"/>
        <v>672</v>
      </c>
      <c r="M1349" s="4" t="str">
        <f>IF(Table3[[#This Row],[Afrondingsdatum YB]]="N/A","-",Table3[[#This Row],[Afrondingsdatum YB]]-Table3[[#This Row],[StartDatum]])</f>
        <v>-</v>
      </c>
      <c r="N1349" s="4"/>
      <c r="O1349">
        <f t="shared" si="121"/>
        <v>115</v>
      </c>
      <c r="P1349">
        <f t="shared" si="120"/>
        <v>101</v>
      </c>
      <c r="Q1349">
        <f t="shared" si="120"/>
        <v>98</v>
      </c>
      <c r="R1349">
        <f t="shared" si="120"/>
        <v>97</v>
      </c>
      <c r="S1349">
        <f t="shared" si="120"/>
        <v>115</v>
      </c>
      <c r="T1349">
        <f t="shared" si="120"/>
        <v>46</v>
      </c>
      <c r="U1349">
        <f t="shared" si="120"/>
        <v>100</v>
      </c>
      <c r="V1349">
        <f t="shared" si="120"/>
        <v>101</v>
      </c>
      <c r="W1349" s="5">
        <f t="shared" si="117"/>
        <v>846</v>
      </c>
      <c r="X1349" s="9" t="str">
        <f t="shared" si="118"/>
        <v>e846</v>
      </c>
    </row>
    <row r="1350" spans="1:24" x14ac:dyDescent="0.2">
      <c r="A1350" s="9" t="s">
        <v>425</v>
      </c>
      <c r="B1350" s="9">
        <v>3</v>
      </c>
      <c r="C1350" s="25">
        <v>12</v>
      </c>
      <c r="D1350" s="25"/>
      <c r="E1350" s="23">
        <v>45418</v>
      </c>
      <c r="F1350" s="23" t="s">
        <v>283</v>
      </c>
      <c r="G1350" s="25" t="s">
        <v>357</v>
      </c>
      <c r="H1350" s="24">
        <v>0.03</v>
      </c>
      <c r="I1350" s="25" t="s">
        <v>70</v>
      </c>
      <c r="J1350" s="32" t="s">
        <v>7</v>
      </c>
      <c r="K1350" s="24" t="s">
        <v>9</v>
      </c>
      <c r="L1350" s="9">
        <f t="shared" si="119"/>
        <v>698</v>
      </c>
      <c r="M1350" s="4" t="str">
        <f>IF(Table3[[#This Row],[Afrondingsdatum YB]]="N/A","-",Table3[[#This Row],[Afrondingsdatum YB]]-Table3[[#This Row],[StartDatum]])</f>
        <v>-</v>
      </c>
      <c r="N1350" s="4"/>
      <c r="O1350">
        <f t="shared" si="121"/>
        <v>115</v>
      </c>
      <c r="P1350">
        <f t="shared" si="120"/>
        <v>116</v>
      </c>
      <c r="Q1350">
        <f t="shared" si="120"/>
        <v>105</v>
      </c>
      <c r="R1350">
        <f t="shared" si="120"/>
        <v>106</v>
      </c>
      <c r="S1350">
        <f t="shared" si="120"/>
        <v>110</v>
      </c>
      <c r="T1350">
        <f t="shared" si="120"/>
        <v>46</v>
      </c>
      <c r="U1350">
        <f t="shared" si="120"/>
        <v>100</v>
      </c>
      <c r="V1350">
        <f t="shared" si="120"/>
        <v>101</v>
      </c>
      <c r="W1350" s="5">
        <f t="shared" si="117"/>
        <v>872</v>
      </c>
      <c r="X1350" s="9" t="str">
        <f t="shared" si="118"/>
        <v>t872</v>
      </c>
    </row>
    <row r="1351" spans="1:24" x14ac:dyDescent="0.2">
      <c r="A1351" s="9" t="s">
        <v>425</v>
      </c>
      <c r="B1351" s="9">
        <v>3</v>
      </c>
      <c r="C1351" s="25">
        <v>12</v>
      </c>
      <c r="D1351" s="25"/>
      <c r="E1351" s="23">
        <v>45418</v>
      </c>
      <c r="F1351" s="23" t="s">
        <v>283</v>
      </c>
      <c r="G1351" s="25" t="s">
        <v>310</v>
      </c>
      <c r="H1351" s="24">
        <v>1</v>
      </c>
      <c r="I1351" s="25" t="s">
        <v>352</v>
      </c>
      <c r="J1351" s="32">
        <v>45389</v>
      </c>
      <c r="K1351" s="24">
        <v>0.85</v>
      </c>
      <c r="L1351" s="9">
        <f t="shared" si="119"/>
        <v>724</v>
      </c>
      <c r="M1351" s="4">
        <f>IF(Table3[[#This Row],[Afrondingsdatum YB]]="N/A","-",Table3[[#This Row],[Afrondingsdatum YB]]-Table3[[#This Row],[StartDatum]])</f>
        <v>45389</v>
      </c>
      <c r="N1351" s="4"/>
      <c r="O1351">
        <f t="shared" si="121"/>
        <v>116</v>
      </c>
      <c r="P1351">
        <f t="shared" si="120"/>
        <v>111</v>
      </c>
      <c r="Q1351">
        <f t="shared" si="120"/>
        <v>109</v>
      </c>
      <c r="R1351">
        <f t="shared" si="120"/>
        <v>109</v>
      </c>
      <c r="S1351">
        <f t="shared" si="120"/>
        <v>121</v>
      </c>
      <c r="T1351">
        <f t="shared" si="120"/>
        <v>46</v>
      </c>
      <c r="U1351">
        <f t="shared" si="120"/>
        <v>112</v>
      </c>
      <c r="V1351">
        <f t="shared" si="120"/>
        <v>111</v>
      </c>
      <c r="W1351" s="5">
        <f t="shared" si="117"/>
        <v>916</v>
      </c>
      <c r="X1351" s="9" t="str">
        <f t="shared" si="118"/>
        <v>o916</v>
      </c>
    </row>
    <row r="1352" spans="1:24" x14ac:dyDescent="0.2">
      <c r="A1352" s="9" t="s">
        <v>425</v>
      </c>
      <c r="B1352" s="9">
        <v>3</v>
      </c>
      <c r="C1352" s="25">
        <v>12</v>
      </c>
      <c r="D1352" s="25"/>
      <c r="E1352" s="23">
        <v>45418</v>
      </c>
      <c r="F1352" s="23" t="s">
        <v>280</v>
      </c>
      <c r="G1352" s="25" t="s">
        <v>322</v>
      </c>
      <c r="H1352" s="24">
        <v>1</v>
      </c>
      <c r="I1352" s="25" t="s">
        <v>158</v>
      </c>
      <c r="J1352" s="32">
        <v>45368</v>
      </c>
      <c r="K1352" s="24">
        <v>0.85</v>
      </c>
      <c r="L1352" s="9">
        <f t="shared" si="119"/>
        <v>728</v>
      </c>
      <c r="M1352" s="4">
        <f>IF(Table3[[#This Row],[Afrondingsdatum YB]]="N/A","-",Table3[[#This Row],[Afrondingsdatum YB]]-Table3[[#This Row],[StartDatum]])</f>
        <v>45368</v>
      </c>
      <c r="N1352" s="4"/>
      <c r="O1352">
        <f t="shared" si="121"/>
        <v>120</v>
      </c>
      <c r="P1352">
        <f t="shared" si="120"/>
        <v>117</v>
      </c>
      <c r="Q1352">
        <f t="shared" si="120"/>
        <v>121</v>
      </c>
      <c r="R1352">
        <f t="shared" si="120"/>
        <v>117</v>
      </c>
      <c r="S1352">
        <f t="shared" si="120"/>
        <v>97</v>
      </c>
      <c r="T1352">
        <f t="shared" si="120"/>
        <v>110</v>
      </c>
      <c r="U1352">
        <f t="shared" si="120"/>
        <v>46</v>
      </c>
      <c r="V1352">
        <f t="shared" si="120"/>
        <v>121</v>
      </c>
      <c r="W1352" s="5">
        <f t="shared" si="117"/>
        <v>945</v>
      </c>
      <c r="X1352" s="9" t="str">
        <f t="shared" si="118"/>
        <v>u945</v>
      </c>
    </row>
    <row r="1353" spans="1:24" x14ac:dyDescent="0.2">
      <c r="A1353" s="9" t="s">
        <v>425</v>
      </c>
      <c r="B1353" s="9">
        <v>3</v>
      </c>
      <c r="C1353" s="25">
        <v>12</v>
      </c>
      <c r="D1353" s="25"/>
      <c r="E1353" s="23">
        <v>45418</v>
      </c>
      <c r="F1353" s="23" t="s">
        <v>283</v>
      </c>
      <c r="G1353" s="25" t="s">
        <v>311</v>
      </c>
      <c r="H1353" s="24">
        <v>1</v>
      </c>
      <c r="I1353" s="25" t="s">
        <v>164</v>
      </c>
      <c r="J1353" s="32">
        <v>45383</v>
      </c>
      <c r="K1353" s="24">
        <v>0.78</v>
      </c>
      <c r="L1353" s="9">
        <f t="shared" si="119"/>
        <v>758</v>
      </c>
      <c r="M1353" s="4">
        <f>IF(Table3[[#This Row],[Afrondingsdatum YB]]="N/A","-",Table3[[#This Row],[Afrondingsdatum YB]]-Table3[[#This Row],[StartDatum]])</f>
        <v>45383</v>
      </c>
      <c r="N1353" s="4"/>
      <c r="O1353">
        <f t="shared" si="121"/>
        <v>121</v>
      </c>
      <c r="P1353">
        <f t="shared" si="120"/>
        <v>97</v>
      </c>
      <c r="Q1353">
        <f t="shared" si="120"/>
        <v>115</v>
      </c>
      <c r="R1353">
        <f t="shared" si="120"/>
        <v>109</v>
      </c>
      <c r="S1353">
        <f t="shared" si="120"/>
        <v>105</v>
      </c>
      <c r="T1353">
        <f t="shared" si="120"/>
        <v>110</v>
      </c>
      <c r="U1353">
        <f t="shared" si="120"/>
        <v>101</v>
      </c>
      <c r="V1353">
        <f t="shared" si="120"/>
        <v>46</v>
      </c>
      <c r="W1353" s="5">
        <f t="shared" si="117"/>
        <v>904</v>
      </c>
      <c r="X1353" s="9" t="str">
        <f t="shared" si="118"/>
        <v>a904</v>
      </c>
    </row>
    <row r="1354" spans="1:24" x14ac:dyDescent="0.2">
      <c r="A1354" s="9" t="s">
        <v>425</v>
      </c>
      <c r="B1354" s="9">
        <v>3</v>
      </c>
      <c r="C1354" s="25">
        <v>12</v>
      </c>
      <c r="D1354" s="25"/>
      <c r="E1354" s="23">
        <v>45418</v>
      </c>
      <c r="F1354" s="23" t="s">
        <v>283</v>
      </c>
      <c r="G1354" s="25" t="s">
        <v>340</v>
      </c>
      <c r="H1354" s="24">
        <v>1</v>
      </c>
      <c r="I1354" s="25" t="s">
        <v>341</v>
      </c>
      <c r="J1354" s="32">
        <v>45375</v>
      </c>
      <c r="K1354" s="24">
        <v>0.9</v>
      </c>
      <c r="L1354" s="9">
        <f t="shared" si="119"/>
        <v>782</v>
      </c>
      <c r="M1354" s="4">
        <f>IF(Table3[[#This Row],[Afrondingsdatum YB]]="N/A","-",Table3[[#This Row],[Afrondingsdatum YB]]-Table3[[#This Row],[StartDatum]])</f>
        <v>45375</v>
      </c>
      <c r="N1354" s="4"/>
      <c r="O1354">
        <f t="shared" si="121"/>
        <v>121</v>
      </c>
      <c r="P1354">
        <f t="shared" si="120"/>
        <v>111</v>
      </c>
      <c r="Q1354">
        <f t="shared" si="120"/>
        <v>117</v>
      </c>
      <c r="R1354">
        <f t="shared" si="120"/>
        <v>115</v>
      </c>
      <c r="S1354">
        <f t="shared" si="120"/>
        <v>115</v>
      </c>
      <c r="T1354">
        <f t="shared" si="120"/>
        <v>101</v>
      </c>
      <c r="U1354">
        <f t="shared" si="120"/>
        <v>102</v>
      </c>
      <c r="V1354">
        <f t="shared" si="120"/>
        <v>46</v>
      </c>
      <c r="W1354" s="5">
        <f t="shared" si="117"/>
        <v>920</v>
      </c>
      <c r="X1354" s="9" t="str">
        <f t="shared" si="118"/>
        <v>o920</v>
      </c>
    </row>
    <row r="1355" spans="1:24" x14ac:dyDescent="0.2">
      <c r="A1355" s="9" t="s">
        <v>425</v>
      </c>
      <c r="B1355" s="9">
        <v>3</v>
      </c>
      <c r="C1355" s="25">
        <v>12</v>
      </c>
      <c r="D1355" s="25"/>
      <c r="E1355" s="23">
        <v>45418</v>
      </c>
      <c r="F1355" s="23" t="s">
        <v>280</v>
      </c>
      <c r="G1355" s="25" t="s">
        <v>312</v>
      </c>
      <c r="H1355" s="24">
        <v>0.99</v>
      </c>
      <c r="I1355" s="25" t="s">
        <v>358</v>
      </c>
      <c r="J1355" s="32" t="s">
        <v>7</v>
      </c>
      <c r="K1355" s="24" t="s">
        <v>9</v>
      </c>
      <c r="L1355" s="9">
        <f t="shared" si="119"/>
        <v>790</v>
      </c>
      <c r="M1355" s="4" t="str">
        <f>IF(Table3[[#This Row],[Afrondingsdatum YB]]="N/A","-",Table3[[#This Row],[Afrondingsdatum YB]]-Table3[[#This Row],[StartDatum]])</f>
        <v>-</v>
      </c>
      <c r="N1355" s="4"/>
      <c r="O1355">
        <f t="shared" si="121"/>
        <v>121</v>
      </c>
      <c r="P1355">
        <f t="shared" si="120"/>
        <v>111</v>
      </c>
      <c r="Q1355">
        <f t="shared" si="120"/>
        <v>117</v>
      </c>
      <c r="R1355">
        <f t="shared" si="120"/>
        <v>115</v>
      </c>
      <c r="S1355">
        <f t="shared" si="120"/>
        <v>115</v>
      </c>
      <c r="T1355">
        <f t="shared" si="120"/>
        <v>114</v>
      </c>
      <c r="U1355">
        <f t="shared" si="120"/>
        <v>97</v>
      </c>
      <c r="V1355">
        <f t="shared" si="120"/>
        <v>46</v>
      </c>
      <c r="W1355" s="5">
        <f t="shared" si="117"/>
        <v>928</v>
      </c>
      <c r="X1355" s="9" t="str">
        <f t="shared" si="118"/>
        <v>o928</v>
      </c>
    </row>
    <row r="1356" spans="1:24" x14ac:dyDescent="0.2">
      <c r="A1356" s="9" t="s">
        <v>425</v>
      </c>
      <c r="B1356" s="9">
        <v>3</v>
      </c>
      <c r="C1356" s="25">
        <v>12</v>
      </c>
      <c r="D1356" s="25"/>
      <c r="E1356" s="23">
        <v>45418</v>
      </c>
      <c r="F1356" s="23" t="s">
        <v>283</v>
      </c>
      <c r="G1356" s="25" t="s">
        <v>323</v>
      </c>
      <c r="H1356" s="24">
        <v>1</v>
      </c>
      <c r="I1356" s="25" t="s">
        <v>187</v>
      </c>
      <c r="J1356" s="32">
        <v>45384</v>
      </c>
      <c r="K1356" s="24">
        <v>0.75</v>
      </c>
      <c r="L1356" s="9">
        <f t="shared" si="119"/>
        <v>685</v>
      </c>
      <c r="M1356" s="4">
        <f>IF(Table3[[#This Row],[Afrondingsdatum YB]]="N/A","-",Table3[[#This Row],[Afrondingsdatum YB]]-Table3[[#This Row],[StartDatum]])</f>
        <v>45384</v>
      </c>
      <c r="N1356" s="4"/>
      <c r="O1356">
        <f t="shared" si="121"/>
        <v>122</v>
      </c>
      <c r="P1356">
        <f t="shared" si="120"/>
        <v>105</v>
      </c>
      <c r="Q1356">
        <f t="shared" si="120"/>
        <v>97</v>
      </c>
      <c r="R1356">
        <f t="shared" si="120"/>
        <v>46</v>
      </c>
      <c r="S1356">
        <f t="shared" si="120"/>
        <v>100</v>
      </c>
      <c r="T1356">
        <f t="shared" si="120"/>
        <v>105</v>
      </c>
      <c r="U1356">
        <f t="shared" si="120"/>
        <v>110</v>
      </c>
      <c r="V1356">
        <f t="shared" si="120"/>
        <v>109</v>
      </c>
      <c r="W1356" s="5">
        <f t="shared" si="117"/>
        <v>901</v>
      </c>
      <c r="X1356" s="9" t="str">
        <f t="shared" si="118"/>
        <v>i901</v>
      </c>
    </row>
    <row r="1357" spans="1:24" x14ac:dyDescent="0.2">
      <c r="A1357" s="9" t="s">
        <v>425</v>
      </c>
      <c r="B1357" s="9">
        <v>3</v>
      </c>
      <c r="C1357" s="25">
        <v>13</v>
      </c>
      <c r="D1357" s="12">
        <v>45327</v>
      </c>
      <c r="E1357" s="12">
        <v>45425</v>
      </c>
      <c r="F1357" s="12" t="s">
        <v>280</v>
      </c>
      <c r="G1357" s="9" t="s">
        <v>281</v>
      </c>
      <c r="H1357" s="62">
        <v>1</v>
      </c>
      <c r="I1357" s="63" t="s">
        <v>331</v>
      </c>
      <c r="J1357" s="11">
        <v>45373</v>
      </c>
      <c r="K1357" s="7">
        <v>0.8</v>
      </c>
      <c r="L1357" s="9">
        <f t="shared" si="119"/>
        <v>0</v>
      </c>
      <c r="M1357" s="4">
        <f>IF(Table3[[#This Row],[Afrondingsdatum YB]]="N/A","-",Table3[[#This Row],[Afrondingsdatum YB]]-Table3[[#This Row],[StartDatum]])</f>
        <v>46</v>
      </c>
      <c r="N1357" s="4"/>
      <c r="V1357"/>
      <c r="W1357" s="5"/>
      <c r="X1357" s="9"/>
    </row>
    <row r="1358" spans="1:24" x14ac:dyDescent="0.2">
      <c r="A1358" s="9" t="s">
        <v>425</v>
      </c>
      <c r="B1358" s="9">
        <v>3</v>
      </c>
      <c r="C1358" s="25">
        <v>13</v>
      </c>
      <c r="D1358" s="12">
        <v>45327</v>
      </c>
      <c r="E1358" s="12">
        <v>45425</v>
      </c>
      <c r="F1358" s="12" t="s">
        <v>280</v>
      </c>
      <c r="G1358" s="9" t="s">
        <v>282</v>
      </c>
      <c r="H1358" s="62">
        <v>0.02</v>
      </c>
      <c r="I1358" s="63" t="s">
        <v>325</v>
      </c>
      <c r="J1358" s="9" t="s">
        <v>7</v>
      </c>
      <c r="K1358" s="9" t="s">
        <v>9</v>
      </c>
      <c r="L1358" s="9">
        <f t="shared" si="119"/>
        <v>0</v>
      </c>
      <c r="M1358" s="4" t="str">
        <f>IF(Table3[[#This Row],[Afrondingsdatum YB]]="N/A","-",Table3[[#This Row],[Afrondingsdatum YB]]-Table3[[#This Row],[StartDatum]])</f>
        <v>-</v>
      </c>
      <c r="N1358" s="4"/>
      <c r="V1358"/>
      <c r="W1358" s="5"/>
      <c r="X1358" s="9"/>
    </row>
    <row r="1359" spans="1:24" x14ac:dyDescent="0.2">
      <c r="A1359" s="9" t="s">
        <v>425</v>
      </c>
      <c r="B1359" s="9">
        <v>3</v>
      </c>
      <c r="C1359" s="25">
        <v>13</v>
      </c>
      <c r="D1359" s="12">
        <v>45327</v>
      </c>
      <c r="E1359" s="12">
        <v>45425</v>
      </c>
      <c r="F1359" s="12" t="s">
        <v>283</v>
      </c>
      <c r="G1359" s="9" t="s">
        <v>284</v>
      </c>
      <c r="H1359" s="62">
        <v>1</v>
      </c>
      <c r="I1359" s="63" t="s">
        <v>208</v>
      </c>
      <c r="J1359" s="11">
        <v>45354</v>
      </c>
      <c r="K1359" s="7">
        <v>0.8</v>
      </c>
      <c r="L1359" s="9">
        <f t="shared" si="119"/>
        <v>0</v>
      </c>
      <c r="M1359" s="4">
        <f>IF(Table3[[#This Row],[Afrondingsdatum YB]]="N/A","-",Table3[[#This Row],[Afrondingsdatum YB]]-Table3[[#This Row],[StartDatum]])</f>
        <v>27</v>
      </c>
      <c r="N1359" s="4"/>
      <c r="V1359"/>
      <c r="W1359" s="5"/>
      <c r="X1359" s="9"/>
    </row>
    <row r="1360" spans="1:24" x14ac:dyDescent="0.2">
      <c r="A1360" s="9" t="s">
        <v>425</v>
      </c>
      <c r="B1360" s="9">
        <v>3</v>
      </c>
      <c r="C1360" s="25">
        <v>13</v>
      </c>
      <c r="D1360" s="12">
        <v>45327</v>
      </c>
      <c r="E1360" s="12">
        <v>45425</v>
      </c>
      <c r="F1360" s="12" t="s">
        <v>283</v>
      </c>
      <c r="G1360" s="9" t="s">
        <v>285</v>
      </c>
      <c r="H1360" s="62">
        <v>1</v>
      </c>
      <c r="I1360" s="63" t="s">
        <v>139</v>
      </c>
      <c r="J1360" s="11">
        <v>45380</v>
      </c>
      <c r="K1360" s="7">
        <v>0.78</v>
      </c>
      <c r="L1360" s="9">
        <f t="shared" si="119"/>
        <v>0</v>
      </c>
      <c r="M1360" s="4">
        <f>IF(Table3[[#This Row],[Afrondingsdatum YB]]="N/A","-",Table3[[#This Row],[Afrondingsdatum YB]]-Table3[[#This Row],[StartDatum]])</f>
        <v>53</v>
      </c>
      <c r="N1360" s="4"/>
      <c r="V1360"/>
      <c r="W1360" s="5"/>
      <c r="X1360" s="9"/>
    </row>
    <row r="1361" spans="1:24" x14ac:dyDescent="0.2">
      <c r="A1361" s="9" t="s">
        <v>425</v>
      </c>
      <c r="B1361" s="9">
        <v>3</v>
      </c>
      <c r="C1361" s="25">
        <v>13</v>
      </c>
      <c r="D1361" s="12">
        <v>45327</v>
      </c>
      <c r="E1361" s="12">
        <v>45425</v>
      </c>
      <c r="F1361" s="12" t="s">
        <v>283</v>
      </c>
      <c r="G1361" s="9" t="s">
        <v>333</v>
      </c>
      <c r="H1361" s="62">
        <v>1</v>
      </c>
      <c r="I1361" s="63" t="s">
        <v>342</v>
      </c>
      <c r="J1361" s="11">
        <v>45382</v>
      </c>
      <c r="K1361" s="7">
        <v>0.85</v>
      </c>
      <c r="L1361" s="9">
        <f t="shared" si="119"/>
        <v>0</v>
      </c>
      <c r="M1361" s="4">
        <f>IF(Table3[[#This Row],[Afrondingsdatum YB]]="N/A","-",Table3[[#This Row],[Afrondingsdatum YB]]-Table3[[#This Row],[StartDatum]])</f>
        <v>55</v>
      </c>
      <c r="N1361" s="4"/>
      <c r="V1361"/>
      <c r="W1361" s="5"/>
      <c r="X1361" s="9"/>
    </row>
    <row r="1362" spans="1:24" x14ac:dyDescent="0.2">
      <c r="A1362" s="9" t="s">
        <v>425</v>
      </c>
      <c r="B1362" s="9">
        <v>3</v>
      </c>
      <c r="C1362" s="25">
        <v>13</v>
      </c>
      <c r="D1362" s="12">
        <v>45327</v>
      </c>
      <c r="E1362" s="12">
        <v>45425</v>
      </c>
      <c r="F1362" s="12" t="s">
        <v>283</v>
      </c>
      <c r="G1362" s="9" t="s">
        <v>286</v>
      </c>
      <c r="H1362" s="62">
        <v>1</v>
      </c>
      <c r="I1362" s="63" t="s">
        <v>238</v>
      </c>
      <c r="J1362" s="11">
        <v>45352</v>
      </c>
      <c r="K1362" s="7">
        <v>0.85</v>
      </c>
      <c r="L1362" s="9">
        <f t="shared" si="119"/>
        <v>0</v>
      </c>
      <c r="M1362" s="4">
        <f>IF(Table3[[#This Row],[Afrondingsdatum YB]]="N/A","-",Table3[[#This Row],[Afrondingsdatum YB]]-Table3[[#This Row],[StartDatum]])</f>
        <v>25</v>
      </c>
      <c r="N1362" s="4"/>
      <c r="V1362"/>
      <c r="W1362" s="5"/>
      <c r="X1362" s="9"/>
    </row>
    <row r="1363" spans="1:24" x14ac:dyDescent="0.2">
      <c r="A1363" s="9" t="s">
        <v>425</v>
      </c>
      <c r="B1363" s="9">
        <v>3</v>
      </c>
      <c r="C1363" s="25">
        <v>13</v>
      </c>
      <c r="D1363" s="12">
        <v>45327</v>
      </c>
      <c r="E1363" s="12">
        <v>45425</v>
      </c>
      <c r="F1363" s="12" t="s">
        <v>283</v>
      </c>
      <c r="G1363" s="9" t="s">
        <v>353</v>
      </c>
      <c r="H1363" s="62">
        <v>1</v>
      </c>
      <c r="I1363" s="63" t="s">
        <v>356</v>
      </c>
      <c r="J1363" s="11">
        <v>45397</v>
      </c>
      <c r="K1363" s="7">
        <v>0.83</v>
      </c>
      <c r="L1363" s="9">
        <f t="shared" si="119"/>
        <v>0</v>
      </c>
      <c r="M1363" s="4">
        <f>IF(Table3[[#This Row],[Afrondingsdatum YB]]="N/A","-",Table3[[#This Row],[Afrondingsdatum YB]]-Table3[[#This Row],[StartDatum]])</f>
        <v>70</v>
      </c>
      <c r="N1363" s="4"/>
      <c r="V1363"/>
      <c r="W1363" s="5"/>
      <c r="X1363" s="9"/>
    </row>
    <row r="1364" spans="1:24" x14ac:dyDescent="0.2">
      <c r="A1364" s="9" t="s">
        <v>425</v>
      </c>
      <c r="B1364" s="9">
        <v>3</v>
      </c>
      <c r="C1364" s="25">
        <v>13</v>
      </c>
      <c r="D1364" s="12">
        <v>45327</v>
      </c>
      <c r="E1364" s="12">
        <v>45425</v>
      </c>
      <c r="F1364" s="12" t="s">
        <v>280</v>
      </c>
      <c r="G1364" s="9" t="s">
        <v>287</v>
      </c>
      <c r="H1364" s="62">
        <v>1</v>
      </c>
      <c r="I1364" s="63" t="s">
        <v>335</v>
      </c>
      <c r="J1364" s="11">
        <v>45383</v>
      </c>
      <c r="K1364" s="7">
        <v>0.9</v>
      </c>
      <c r="L1364" s="9">
        <f t="shared" si="119"/>
        <v>0</v>
      </c>
      <c r="M1364" s="4">
        <f>IF(Table3[[#This Row],[Afrondingsdatum YB]]="N/A","-",Table3[[#This Row],[Afrondingsdatum YB]]-Table3[[#This Row],[StartDatum]])</f>
        <v>56</v>
      </c>
      <c r="N1364" s="4"/>
      <c r="V1364"/>
      <c r="W1364" s="5"/>
      <c r="X1364" s="9"/>
    </row>
    <row r="1365" spans="1:24" x14ac:dyDescent="0.2">
      <c r="A1365" s="9" t="s">
        <v>425</v>
      </c>
      <c r="B1365" s="9">
        <v>3</v>
      </c>
      <c r="C1365" s="25">
        <v>13</v>
      </c>
      <c r="D1365" s="12">
        <v>45327</v>
      </c>
      <c r="E1365" s="12">
        <v>45425</v>
      </c>
      <c r="F1365" s="12" t="s">
        <v>283</v>
      </c>
      <c r="G1365" s="9" t="s">
        <v>343</v>
      </c>
      <c r="H1365" s="62">
        <v>1</v>
      </c>
      <c r="I1365" s="63" t="s">
        <v>350</v>
      </c>
      <c r="J1365" s="11">
        <v>45390</v>
      </c>
      <c r="K1365" s="7">
        <v>0.8</v>
      </c>
      <c r="L1365" s="9">
        <f t="shared" si="119"/>
        <v>0</v>
      </c>
      <c r="M1365" s="4">
        <f>IF(Table3[[#This Row],[Afrondingsdatum YB]]="N/A","-",Table3[[#This Row],[Afrondingsdatum YB]]-Table3[[#This Row],[StartDatum]])</f>
        <v>63</v>
      </c>
      <c r="N1365" s="4"/>
      <c r="V1365"/>
      <c r="W1365" s="5"/>
      <c r="X1365" s="9"/>
    </row>
    <row r="1366" spans="1:24" x14ac:dyDescent="0.2">
      <c r="A1366" s="9" t="s">
        <v>425</v>
      </c>
      <c r="B1366" s="9">
        <v>3</v>
      </c>
      <c r="C1366" s="25">
        <v>13</v>
      </c>
      <c r="D1366" s="12">
        <v>45327</v>
      </c>
      <c r="E1366" s="12">
        <v>45425</v>
      </c>
      <c r="F1366" s="12" t="s">
        <v>280</v>
      </c>
      <c r="G1366" s="9" t="s">
        <v>288</v>
      </c>
      <c r="H1366" s="62">
        <v>1</v>
      </c>
      <c r="I1366" s="63" t="s">
        <v>330</v>
      </c>
      <c r="J1366" s="11">
        <v>45373</v>
      </c>
      <c r="K1366" s="7">
        <v>0.8</v>
      </c>
      <c r="L1366" s="9">
        <f t="shared" si="119"/>
        <v>0</v>
      </c>
      <c r="M1366" s="4">
        <f>IF(Table3[[#This Row],[Afrondingsdatum YB]]="N/A","-",Table3[[#This Row],[Afrondingsdatum YB]]-Table3[[#This Row],[StartDatum]])</f>
        <v>46</v>
      </c>
      <c r="N1366" s="4"/>
      <c r="V1366"/>
      <c r="W1366" s="5"/>
      <c r="X1366" s="9"/>
    </row>
    <row r="1367" spans="1:24" x14ac:dyDescent="0.2">
      <c r="A1367" s="9" t="s">
        <v>425</v>
      </c>
      <c r="B1367" s="9">
        <v>3</v>
      </c>
      <c r="C1367" s="25">
        <v>13</v>
      </c>
      <c r="D1367" s="12">
        <v>45327</v>
      </c>
      <c r="E1367" s="12">
        <v>45425</v>
      </c>
      <c r="F1367" s="12" t="s">
        <v>283</v>
      </c>
      <c r="G1367" s="9" t="s">
        <v>289</v>
      </c>
      <c r="H1367" s="62">
        <v>1</v>
      </c>
      <c r="I1367" s="63" t="s">
        <v>342</v>
      </c>
      <c r="J1367" s="11">
        <v>45389</v>
      </c>
      <c r="K1367" s="7">
        <v>0.83</v>
      </c>
      <c r="L1367" s="9">
        <f t="shared" si="119"/>
        <v>0</v>
      </c>
      <c r="M1367" s="4">
        <f>IF(Table3[[#This Row],[Afrondingsdatum YB]]="N/A","-",Table3[[#This Row],[Afrondingsdatum YB]]-Table3[[#This Row],[StartDatum]])</f>
        <v>62</v>
      </c>
      <c r="N1367" s="4"/>
      <c r="V1367"/>
      <c r="W1367" s="5"/>
      <c r="X1367" s="9"/>
    </row>
    <row r="1368" spans="1:24" x14ac:dyDescent="0.2">
      <c r="A1368" s="9" t="s">
        <v>425</v>
      </c>
      <c r="B1368" s="9">
        <v>3</v>
      </c>
      <c r="C1368" s="25">
        <v>13</v>
      </c>
      <c r="D1368" s="12">
        <v>45327</v>
      </c>
      <c r="E1368" s="12">
        <v>45425</v>
      </c>
      <c r="F1368" s="12" t="s">
        <v>283</v>
      </c>
      <c r="G1368" s="9" t="s">
        <v>290</v>
      </c>
      <c r="H1368" s="62">
        <v>1</v>
      </c>
      <c r="I1368" s="63" t="s">
        <v>214</v>
      </c>
      <c r="J1368" s="11">
        <v>45358</v>
      </c>
      <c r="K1368" s="7">
        <v>0.78</v>
      </c>
      <c r="L1368" s="9">
        <f t="shared" si="119"/>
        <v>0</v>
      </c>
      <c r="M1368" s="4">
        <f>IF(Table3[[#This Row],[Afrondingsdatum YB]]="N/A","-",Table3[[#This Row],[Afrondingsdatum YB]]-Table3[[#This Row],[StartDatum]])</f>
        <v>31</v>
      </c>
      <c r="N1368" s="4"/>
      <c r="V1368"/>
      <c r="W1368" s="5"/>
      <c r="X1368" s="9"/>
    </row>
    <row r="1369" spans="1:24" x14ac:dyDescent="0.2">
      <c r="A1369" s="9" t="s">
        <v>425</v>
      </c>
      <c r="B1369" s="9">
        <v>3</v>
      </c>
      <c r="C1369" s="25">
        <v>13</v>
      </c>
      <c r="D1369" s="12">
        <v>45327</v>
      </c>
      <c r="E1369" s="12">
        <v>45425</v>
      </c>
      <c r="F1369" s="12" t="s">
        <v>283</v>
      </c>
      <c r="G1369" s="9" t="s">
        <v>291</v>
      </c>
      <c r="H1369" s="62">
        <v>1</v>
      </c>
      <c r="I1369" s="63" t="s">
        <v>184</v>
      </c>
      <c r="J1369" s="11">
        <v>45389</v>
      </c>
      <c r="K1369" s="7">
        <v>0.83</v>
      </c>
      <c r="L1369" s="9">
        <f t="shared" si="119"/>
        <v>0</v>
      </c>
      <c r="M1369" s="4">
        <f>IF(Table3[[#This Row],[Afrondingsdatum YB]]="N/A","-",Table3[[#This Row],[Afrondingsdatum YB]]-Table3[[#This Row],[StartDatum]])</f>
        <v>62</v>
      </c>
      <c r="N1369" s="4"/>
      <c r="V1369"/>
      <c r="W1369" s="5"/>
      <c r="X1369" s="9"/>
    </row>
    <row r="1370" spans="1:24" x14ac:dyDescent="0.2">
      <c r="A1370" s="9" t="s">
        <v>425</v>
      </c>
      <c r="B1370" s="9">
        <v>3</v>
      </c>
      <c r="C1370" s="25">
        <v>13</v>
      </c>
      <c r="D1370" s="12">
        <v>45327</v>
      </c>
      <c r="E1370" s="12">
        <v>45425</v>
      </c>
      <c r="F1370" s="12" t="s">
        <v>280</v>
      </c>
      <c r="G1370" s="9" t="s">
        <v>292</v>
      </c>
      <c r="H1370" s="62">
        <v>0.99</v>
      </c>
      <c r="I1370" s="63" t="s">
        <v>359</v>
      </c>
      <c r="J1370" s="9" t="s">
        <v>7</v>
      </c>
      <c r="K1370" s="9" t="s">
        <v>9</v>
      </c>
      <c r="L1370" s="9">
        <f t="shared" si="119"/>
        <v>0</v>
      </c>
      <c r="M1370" s="4" t="str">
        <f>IF(Table3[[#This Row],[Afrondingsdatum YB]]="N/A","-",Table3[[#This Row],[Afrondingsdatum YB]]-Table3[[#This Row],[StartDatum]])</f>
        <v>-</v>
      </c>
      <c r="N1370" s="4"/>
      <c r="V1370"/>
      <c r="W1370" s="5"/>
      <c r="X1370" s="9"/>
    </row>
    <row r="1371" spans="1:24" x14ac:dyDescent="0.2">
      <c r="A1371" s="9" t="s">
        <v>425</v>
      </c>
      <c r="B1371" s="9">
        <v>3</v>
      </c>
      <c r="C1371" s="25">
        <v>13</v>
      </c>
      <c r="D1371" s="12">
        <v>45327</v>
      </c>
      <c r="E1371" s="12">
        <v>45425</v>
      </c>
      <c r="F1371" s="12" t="s">
        <v>283</v>
      </c>
      <c r="G1371" s="9" t="s">
        <v>293</v>
      </c>
      <c r="H1371" s="62">
        <v>1</v>
      </c>
      <c r="I1371" s="63" t="s">
        <v>314</v>
      </c>
      <c r="J1371" s="11">
        <v>45382</v>
      </c>
      <c r="K1371" s="7">
        <v>0.85</v>
      </c>
      <c r="L1371" s="9">
        <f t="shared" si="119"/>
        <v>0</v>
      </c>
      <c r="M1371" s="4">
        <f>IF(Table3[[#This Row],[Afrondingsdatum YB]]="N/A","-",Table3[[#This Row],[Afrondingsdatum YB]]-Table3[[#This Row],[StartDatum]])</f>
        <v>55</v>
      </c>
      <c r="N1371" s="4"/>
      <c r="V1371"/>
      <c r="W1371" s="5"/>
      <c r="X1371" s="9"/>
    </row>
    <row r="1372" spans="1:24" x14ac:dyDescent="0.2">
      <c r="A1372" s="9" t="s">
        <v>425</v>
      </c>
      <c r="B1372" s="9">
        <v>3</v>
      </c>
      <c r="C1372" s="25">
        <v>13</v>
      </c>
      <c r="D1372" s="12">
        <v>45327</v>
      </c>
      <c r="E1372" s="12">
        <v>45425</v>
      </c>
      <c r="F1372" s="12" t="s">
        <v>283</v>
      </c>
      <c r="G1372" s="9" t="s">
        <v>294</v>
      </c>
      <c r="H1372" s="62">
        <v>0.13</v>
      </c>
      <c r="I1372" s="63" t="s">
        <v>107</v>
      </c>
      <c r="J1372" s="9" t="s">
        <v>7</v>
      </c>
      <c r="K1372" s="9" t="s">
        <v>9</v>
      </c>
      <c r="L1372" s="9">
        <f t="shared" si="119"/>
        <v>0</v>
      </c>
      <c r="M1372" s="4" t="str">
        <f>IF(Table3[[#This Row],[Afrondingsdatum YB]]="N/A","-",Table3[[#This Row],[Afrondingsdatum YB]]-Table3[[#This Row],[StartDatum]])</f>
        <v>-</v>
      </c>
      <c r="N1372" s="4"/>
      <c r="V1372"/>
      <c r="W1372" s="5"/>
      <c r="X1372" s="9"/>
    </row>
    <row r="1373" spans="1:24" x14ac:dyDescent="0.2">
      <c r="A1373" s="9" t="s">
        <v>425</v>
      </c>
      <c r="B1373" s="9">
        <v>3</v>
      </c>
      <c r="C1373" s="25">
        <v>13</v>
      </c>
      <c r="D1373" s="12">
        <v>45327</v>
      </c>
      <c r="E1373" s="12">
        <v>45425</v>
      </c>
      <c r="F1373" s="12" t="s">
        <v>280</v>
      </c>
      <c r="G1373" s="9" t="s">
        <v>295</v>
      </c>
      <c r="H1373" s="62">
        <v>1</v>
      </c>
      <c r="I1373" s="63" t="s">
        <v>342</v>
      </c>
      <c r="J1373" s="11">
        <v>45378</v>
      </c>
      <c r="K1373" s="7">
        <v>0.75</v>
      </c>
      <c r="L1373" s="9">
        <f t="shared" si="119"/>
        <v>0</v>
      </c>
      <c r="M1373" s="4">
        <f>IF(Table3[[#This Row],[Afrondingsdatum YB]]="N/A","-",Table3[[#This Row],[Afrondingsdatum YB]]-Table3[[#This Row],[StartDatum]])</f>
        <v>51</v>
      </c>
      <c r="N1373" s="4"/>
      <c r="V1373"/>
      <c r="W1373" s="5"/>
      <c r="X1373" s="9"/>
    </row>
    <row r="1374" spans="1:24" x14ac:dyDescent="0.2">
      <c r="A1374" s="9" t="s">
        <v>425</v>
      </c>
      <c r="B1374" s="9">
        <v>3</v>
      </c>
      <c r="C1374" s="25">
        <v>13</v>
      </c>
      <c r="D1374" s="12">
        <v>45327</v>
      </c>
      <c r="E1374" s="12">
        <v>45425</v>
      </c>
      <c r="F1374" s="12" t="s">
        <v>283</v>
      </c>
      <c r="G1374" s="9" t="s">
        <v>296</v>
      </c>
      <c r="H1374" s="62">
        <v>1</v>
      </c>
      <c r="I1374" s="63" t="s">
        <v>143</v>
      </c>
      <c r="J1374" s="11">
        <v>45391</v>
      </c>
      <c r="K1374" s="7">
        <v>0.78</v>
      </c>
      <c r="L1374" s="9">
        <f t="shared" si="119"/>
        <v>0</v>
      </c>
      <c r="M1374" s="4">
        <f>IF(Table3[[#This Row],[Afrondingsdatum YB]]="N/A","-",Table3[[#This Row],[Afrondingsdatum YB]]-Table3[[#This Row],[StartDatum]])</f>
        <v>64</v>
      </c>
      <c r="N1374" s="4"/>
      <c r="V1374"/>
      <c r="W1374" s="5"/>
      <c r="X1374" s="9"/>
    </row>
    <row r="1375" spans="1:24" x14ac:dyDescent="0.2">
      <c r="A1375" s="9" t="s">
        <v>425</v>
      </c>
      <c r="B1375" s="9">
        <v>3</v>
      </c>
      <c r="C1375" s="25">
        <v>13</v>
      </c>
      <c r="D1375" s="12">
        <v>45327</v>
      </c>
      <c r="E1375" s="12">
        <v>45425</v>
      </c>
      <c r="F1375" s="12" t="s">
        <v>283</v>
      </c>
      <c r="G1375" s="9" t="s">
        <v>297</v>
      </c>
      <c r="H1375" s="62">
        <v>1</v>
      </c>
      <c r="I1375" s="63" t="s">
        <v>77</v>
      </c>
      <c r="J1375" s="11">
        <v>45396</v>
      </c>
      <c r="K1375" s="7">
        <v>0.83</v>
      </c>
      <c r="L1375" s="9">
        <f t="shared" si="119"/>
        <v>0</v>
      </c>
      <c r="M1375" s="4">
        <f>IF(Table3[[#This Row],[Afrondingsdatum YB]]="N/A","-",Table3[[#This Row],[Afrondingsdatum YB]]-Table3[[#This Row],[StartDatum]])</f>
        <v>69</v>
      </c>
      <c r="N1375" s="4"/>
      <c r="V1375"/>
      <c r="W1375" s="5"/>
      <c r="X1375" s="9"/>
    </row>
    <row r="1376" spans="1:24" x14ac:dyDescent="0.2">
      <c r="A1376" s="9" t="s">
        <v>425</v>
      </c>
      <c r="B1376" s="9">
        <v>3</v>
      </c>
      <c r="C1376" s="25">
        <v>13</v>
      </c>
      <c r="D1376" s="12">
        <v>45327</v>
      </c>
      <c r="E1376" s="12">
        <v>45425</v>
      </c>
      <c r="F1376" s="12" t="s">
        <v>280</v>
      </c>
      <c r="G1376" s="9" t="s">
        <v>298</v>
      </c>
      <c r="H1376" s="62">
        <v>0.02</v>
      </c>
      <c r="I1376" s="63" t="s">
        <v>326</v>
      </c>
      <c r="J1376" s="9" t="s">
        <v>7</v>
      </c>
      <c r="K1376" s="9" t="s">
        <v>9</v>
      </c>
      <c r="L1376" s="9">
        <f t="shared" si="119"/>
        <v>0</v>
      </c>
      <c r="M1376" s="4" t="str">
        <f>IF(Table3[[#This Row],[Afrondingsdatum YB]]="N/A","-",Table3[[#This Row],[Afrondingsdatum YB]]-Table3[[#This Row],[StartDatum]])</f>
        <v>-</v>
      </c>
      <c r="N1376" s="4"/>
      <c r="V1376"/>
      <c r="W1376" s="5"/>
      <c r="X1376" s="9"/>
    </row>
    <row r="1377" spans="1:24" x14ac:dyDescent="0.2">
      <c r="A1377" s="9" t="s">
        <v>425</v>
      </c>
      <c r="B1377" s="9">
        <v>3</v>
      </c>
      <c r="C1377" s="25">
        <v>13</v>
      </c>
      <c r="D1377" s="12">
        <v>45327</v>
      </c>
      <c r="E1377" s="12">
        <v>45425</v>
      </c>
      <c r="F1377" s="12" t="s">
        <v>280</v>
      </c>
      <c r="G1377" s="9" t="s">
        <v>300</v>
      </c>
      <c r="H1377" s="62">
        <v>0.14000000000000001</v>
      </c>
      <c r="I1377" s="63" t="s">
        <v>184</v>
      </c>
      <c r="J1377" s="9" t="s">
        <v>7</v>
      </c>
      <c r="K1377" s="9" t="s">
        <v>9</v>
      </c>
      <c r="L1377" s="9">
        <f t="shared" si="119"/>
        <v>0</v>
      </c>
      <c r="M1377" s="4" t="str">
        <f>IF(Table3[[#This Row],[Afrondingsdatum YB]]="N/A","-",Table3[[#This Row],[Afrondingsdatum YB]]-Table3[[#This Row],[StartDatum]])</f>
        <v>-</v>
      </c>
      <c r="N1377" s="4"/>
      <c r="V1377"/>
      <c r="W1377" s="5"/>
      <c r="X1377" s="9"/>
    </row>
    <row r="1378" spans="1:24" x14ac:dyDescent="0.2">
      <c r="A1378" s="9" t="s">
        <v>425</v>
      </c>
      <c r="B1378" s="9">
        <v>3</v>
      </c>
      <c r="C1378" s="25">
        <v>13</v>
      </c>
      <c r="D1378" s="12">
        <v>45327</v>
      </c>
      <c r="E1378" s="12">
        <v>45425</v>
      </c>
      <c r="F1378" s="12" t="s">
        <v>283</v>
      </c>
      <c r="G1378" s="9" t="s">
        <v>301</v>
      </c>
      <c r="H1378" s="62">
        <v>1</v>
      </c>
      <c r="I1378" s="63" t="s">
        <v>345</v>
      </c>
      <c r="J1378" s="11">
        <v>45380</v>
      </c>
      <c r="K1378" s="7">
        <v>0.78</v>
      </c>
      <c r="L1378" s="9">
        <f t="shared" si="119"/>
        <v>0</v>
      </c>
      <c r="M1378" s="4">
        <f>IF(Table3[[#This Row],[Afrondingsdatum YB]]="N/A","-",Table3[[#This Row],[Afrondingsdatum YB]]-Table3[[#This Row],[StartDatum]])</f>
        <v>53</v>
      </c>
      <c r="N1378" s="4"/>
      <c r="V1378"/>
      <c r="W1378" s="5"/>
      <c r="X1378" s="9"/>
    </row>
    <row r="1379" spans="1:24" x14ac:dyDescent="0.2">
      <c r="A1379" s="9" t="s">
        <v>425</v>
      </c>
      <c r="B1379" s="9">
        <v>3</v>
      </c>
      <c r="C1379" s="25">
        <v>13</v>
      </c>
      <c r="D1379" s="12">
        <v>45327</v>
      </c>
      <c r="E1379" s="12">
        <v>45425</v>
      </c>
      <c r="F1379" s="12" t="s">
        <v>283</v>
      </c>
      <c r="G1379" s="9" t="s">
        <v>302</v>
      </c>
      <c r="H1379" s="62">
        <v>1</v>
      </c>
      <c r="I1379" s="63" t="s">
        <v>207</v>
      </c>
      <c r="J1379" s="11">
        <v>45348</v>
      </c>
      <c r="K1379" s="7">
        <v>0.95</v>
      </c>
      <c r="L1379" s="9">
        <f t="shared" si="119"/>
        <v>0</v>
      </c>
      <c r="M1379" s="4">
        <f>IF(Table3[[#This Row],[Afrondingsdatum YB]]="N/A","-",Table3[[#This Row],[Afrondingsdatum YB]]-Table3[[#This Row],[StartDatum]])</f>
        <v>21</v>
      </c>
      <c r="N1379" s="4"/>
      <c r="V1379"/>
      <c r="W1379" s="5"/>
      <c r="X1379" s="9"/>
    </row>
    <row r="1380" spans="1:24" x14ac:dyDescent="0.2">
      <c r="A1380" s="9" t="s">
        <v>425</v>
      </c>
      <c r="B1380" s="9">
        <v>3</v>
      </c>
      <c r="C1380" s="25">
        <v>13</v>
      </c>
      <c r="D1380" s="12">
        <v>45327</v>
      </c>
      <c r="E1380" s="12">
        <v>45425</v>
      </c>
      <c r="F1380" s="12" t="s">
        <v>280</v>
      </c>
      <c r="G1380" s="9" t="s">
        <v>339</v>
      </c>
      <c r="H1380" s="62">
        <v>0</v>
      </c>
      <c r="I1380" s="63" t="s">
        <v>8</v>
      </c>
      <c r="J1380" s="9" t="s">
        <v>7</v>
      </c>
      <c r="K1380" s="9" t="s">
        <v>9</v>
      </c>
      <c r="L1380" s="9">
        <f t="shared" si="119"/>
        <v>0</v>
      </c>
      <c r="M1380" s="4" t="str">
        <f>IF(Table3[[#This Row],[Afrondingsdatum YB]]="N/A","-",Table3[[#This Row],[Afrondingsdatum YB]]-Table3[[#This Row],[StartDatum]])</f>
        <v>-</v>
      </c>
      <c r="N1380" s="4"/>
      <c r="V1380"/>
      <c r="W1380" s="5"/>
      <c r="X1380" s="9"/>
    </row>
    <row r="1381" spans="1:24" x14ac:dyDescent="0.2">
      <c r="A1381" s="9" t="s">
        <v>425</v>
      </c>
      <c r="B1381" s="9">
        <v>3</v>
      </c>
      <c r="C1381" s="25">
        <v>13</v>
      </c>
      <c r="D1381" s="12">
        <v>45327</v>
      </c>
      <c r="E1381" s="12">
        <v>45425</v>
      </c>
      <c r="F1381" s="12" t="s">
        <v>283</v>
      </c>
      <c r="G1381" s="9" t="s">
        <v>303</v>
      </c>
      <c r="H1381" s="62">
        <v>1</v>
      </c>
      <c r="I1381" s="63" t="s">
        <v>185</v>
      </c>
      <c r="J1381" s="11">
        <v>45383</v>
      </c>
      <c r="K1381" s="7">
        <v>0.75</v>
      </c>
      <c r="L1381" s="9">
        <f t="shared" si="119"/>
        <v>0</v>
      </c>
      <c r="M1381" s="4">
        <f>IF(Table3[[#This Row],[Afrondingsdatum YB]]="N/A","-",Table3[[#This Row],[Afrondingsdatum YB]]-Table3[[#This Row],[StartDatum]])</f>
        <v>56</v>
      </c>
      <c r="N1381" s="4"/>
      <c r="V1381"/>
      <c r="W1381" s="5"/>
      <c r="X1381" s="9"/>
    </row>
    <row r="1382" spans="1:24" x14ac:dyDescent="0.2">
      <c r="A1382" s="9" t="s">
        <v>425</v>
      </c>
      <c r="B1382" s="9">
        <v>3</v>
      </c>
      <c r="C1382" s="25">
        <v>13</v>
      </c>
      <c r="D1382" s="12">
        <v>45327</v>
      </c>
      <c r="E1382" s="12">
        <v>45425</v>
      </c>
      <c r="F1382" s="12" t="s">
        <v>280</v>
      </c>
      <c r="G1382" s="9" t="s">
        <v>304</v>
      </c>
      <c r="H1382" s="62">
        <v>0.22</v>
      </c>
      <c r="I1382" s="63" t="s">
        <v>328</v>
      </c>
      <c r="J1382" s="9" t="s">
        <v>7</v>
      </c>
      <c r="K1382" s="9" t="s">
        <v>9</v>
      </c>
      <c r="L1382" s="9">
        <f t="shared" si="119"/>
        <v>0</v>
      </c>
      <c r="M1382" s="4" t="str">
        <f>IF(Table3[[#This Row],[Afrondingsdatum YB]]="N/A","-",Table3[[#This Row],[Afrondingsdatum YB]]-Table3[[#This Row],[StartDatum]])</f>
        <v>-</v>
      </c>
      <c r="N1382" s="4"/>
      <c r="V1382"/>
      <c r="W1382" s="5"/>
      <c r="X1382" s="9"/>
    </row>
    <row r="1383" spans="1:24" x14ac:dyDescent="0.2">
      <c r="A1383" s="9" t="s">
        <v>425</v>
      </c>
      <c r="B1383" s="9">
        <v>3</v>
      </c>
      <c r="C1383" s="25">
        <v>13</v>
      </c>
      <c r="D1383" s="12">
        <v>45327</v>
      </c>
      <c r="E1383" s="12">
        <v>45425</v>
      </c>
      <c r="F1383" s="12" t="s">
        <v>283</v>
      </c>
      <c r="G1383" s="9" t="s">
        <v>305</v>
      </c>
      <c r="H1383" s="62">
        <v>1</v>
      </c>
      <c r="I1383" s="63" t="s">
        <v>346</v>
      </c>
      <c r="J1383" s="11">
        <v>45377</v>
      </c>
      <c r="K1383" s="7">
        <v>0.83</v>
      </c>
      <c r="L1383" s="9">
        <f t="shared" si="119"/>
        <v>0</v>
      </c>
      <c r="M1383" s="4">
        <f>IF(Table3[[#This Row],[Afrondingsdatum YB]]="N/A","-",Table3[[#This Row],[Afrondingsdatum YB]]-Table3[[#This Row],[StartDatum]])</f>
        <v>50</v>
      </c>
      <c r="N1383" s="4"/>
      <c r="V1383"/>
      <c r="W1383" s="5"/>
      <c r="X1383" s="9"/>
    </row>
    <row r="1384" spans="1:24" x14ac:dyDescent="0.2">
      <c r="A1384" s="9" t="s">
        <v>425</v>
      </c>
      <c r="B1384" s="9">
        <v>3</v>
      </c>
      <c r="C1384" s="25">
        <v>13</v>
      </c>
      <c r="D1384" s="12">
        <v>45327</v>
      </c>
      <c r="E1384" s="12">
        <v>45425</v>
      </c>
      <c r="F1384" s="12" t="s">
        <v>280</v>
      </c>
      <c r="G1384" s="9" t="s">
        <v>306</v>
      </c>
      <c r="H1384" s="62">
        <v>1</v>
      </c>
      <c r="I1384" s="63" t="s">
        <v>252</v>
      </c>
      <c r="J1384" s="11">
        <v>45392</v>
      </c>
      <c r="K1384" s="7">
        <v>0.78</v>
      </c>
      <c r="L1384" s="9">
        <f t="shared" si="119"/>
        <v>0</v>
      </c>
      <c r="M1384" s="4">
        <f>IF(Table3[[#This Row],[Afrondingsdatum YB]]="N/A","-",Table3[[#This Row],[Afrondingsdatum YB]]-Table3[[#This Row],[StartDatum]])</f>
        <v>65</v>
      </c>
      <c r="N1384" s="4"/>
      <c r="V1384"/>
      <c r="W1384" s="5"/>
      <c r="X1384" s="9"/>
    </row>
    <row r="1385" spans="1:24" x14ac:dyDescent="0.2">
      <c r="A1385" s="9" t="s">
        <v>425</v>
      </c>
      <c r="B1385" s="9">
        <v>3</v>
      </c>
      <c r="C1385" s="25">
        <v>13</v>
      </c>
      <c r="D1385" s="12">
        <v>45327</v>
      </c>
      <c r="E1385" s="12">
        <v>45425</v>
      </c>
      <c r="F1385" s="12" t="s">
        <v>280</v>
      </c>
      <c r="G1385" s="9" t="s">
        <v>347</v>
      </c>
      <c r="H1385" s="62">
        <v>0.05</v>
      </c>
      <c r="I1385" s="63" t="s">
        <v>96</v>
      </c>
      <c r="J1385" s="9" t="s">
        <v>7</v>
      </c>
      <c r="K1385" s="9" t="s">
        <v>9</v>
      </c>
      <c r="L1385" s="9">
        <f t="shared" si="119"/>
        <v>0</v>
      </c>
      <c r="M1385" s="4" t="str">
        <f>IF(Table3[[#This Row],[Afrondingsdatum YB]]="N/A","-",Table3[[#This Row],[Afrondingsdatum YB]]-Table3[[#This Row],[StartDatum]])</f>
        <v>-</v>
      </c>
      <c r="N1385" s="4"/>
      <c r="V1385"/>
      <c r="W1385" s="5"/>
      <c r="X1385" s="9"/>
    </row>
    <row r="1386" spans="1:24" x14ac:dyDescent="0.2">
      <c r="A1386" s="9" t="s">
        <v>425</v>
      </c>
      <c r="B1386" s="9">
        <v>3</v>
      </c>
      <c r="C1386" s="25">
        <v>13</v>
      </c>
      <c r="D1386" s="12">
        <v>45327</v>
      </c>
      <c r="E1386" s="12">
        <v>45425</v>
      </c>
      <c r="F1386" s="12" t="s">
        <v>283</v>
      </c>
      <c r="G1386" s="9" t="s">
        <v>307</v>
      </c>
      <c r="H1386" s="62">
        <v>1</v>
      </c>
      <c r="I1386" s="63" t="s">
        <v>243</v>
      </c>
      <c r="J1386" s="11">
        <v>45345</v>
      </c>
      <c r="K1386" s="7">
        <v>0.98</v>
      </c>
      <c r="L1386" s="9">
        <f t="shared" si="119"/>
        <v>0</v>
      </c>
      <c r="M1386" s="4">
        <f>IF(Table3[[#This Row],[Afrondingsdatum YB]]="N/A","-",Table3[[#This Row],[Afrondingsdatum YB]]-Table3[[#This Row],[StartDatum]])</f>
        <v>18</v>
      </c>
      <c r="N1386" s="4"/>
      <c r="V1386"/>
      <c r="W1386" s="5"/>
      <c r="X1386" s="9"/>
    </row>
    <row r="1387" spans="1:24" x14ac:dyDescent="0.2">
      <c r="A1387" s="9" t="s">
        <v>425</v>
      </c>
      <c r="B1387" s="9">
        <v>3</v>
      </c>
      <c r="C1387" s="25">
        <v>13</v>
      </c>
      <c r="D1387" s="12">
        <v>45327</v>
      </c>
      <c r="E1387" s="12">
        <v>45425</v>
      </c>
      <c r="F1387" s="12" t="s">
        <v>283</v>
      </c>
      <c r="G1387" s="9" t="s">
        <v>348</v>
      </c>
      <c r="H1387" s="62">
        <v>1</v>
      </c>
      <c r="I1387" s="63" t="s">
        <v>205</v>
      </c>
      <c r="J1387" s="11">
        <v>45378</v>
      </c>
      <c r="K1387" s="7">
        <v>0.73</v>
      </c>
      <c r="L1387" s="9">
        <f t="shared" si="119"/>
        <v>0</v>
      </c>
      <c r="M1387" s="4">
        <f>IF(Table3[[#This Row],[Afrondingsdatum YB]]="N/A","-",Table3[[#This Row],[Afrondingsdatum YB]]-Table3[[#This Row],[StartDatum]])</f>
        <v>51</v>
      </c>
      <c r="N1387" s="4"/>
      <c r="V1387"/>
      <c r="W1387" s="5"/>
      <c r="X1387" s="9"/>
    </row>
    <row r="1388" spans="1:24" x14ac:dyDescent="0.2">
      <c r="A1388" s="9" t="s">
        <v>425</v>
      </c>
      <c r="B1388" s="9">
        <v>3</v>
      </c>
      <c r="C1388" s="25">
        <v>13</v>
      </c>
      <c r="D1388" s="12">
        <v>45327</v>
      </c>
      <c r="E1388" s="12">
        <v>45425</v>
      </c>
      <c r="F1388" s="12" t="s">
        <v>280</v>
      </c>
      <c r="G1388" s="9" t="s">
        <v>308</v>
      </c>
      <c r="H1388" s="62">
        <v>0.99</v>
      </c>
      <c r="I1388" s="63" t="s">
        <v>355</v>
      </c>
      <c r="J1388" s="9" t="s">
        <v>7</v>
      </c>
      <c r="K1388" s="9" t="s">
        <v>9</v>
      </c>
      <c r="L1388" s="9">
        <f t="shared" ref="L1388:L1397" si="122">SUM(O1388:U1388)</f>
        <v>0</v>
      </c>
      <c r="M1388" s="4" t="str">
        <f>IF(Table3[[#This Row],[Afrondingsdatum YB]]="N/A","-",Table3[[#This Row],[Afrondingsdatum YB]]-Table3[[#This Row],[StartDatum]])</f>
        <v>-</v>
      </c>
      <c r="N1388" s="4"/>
      <c r="V1388"/>
      <c r="W1388" s="5"/>
      <c r="X1388" s="9"/>
    </row>
    <row r="1389" spans="1:24" x14ac:dyDescent="0.2">
      <c r="A1389" s="9" t="s">
        <v>425</v>
      </c>
      <c r="B1389" s="9">
        <v>3</v>
      </c>
      <c r="C1389" s="25">
        <v>13</v>
      </c>
      <c r="D1389" s="12">
        <v>45327</v>
      </c>
      <c r="E1389" s="12">
        <v>45425</v>
      </c>
      <c r="F1389" s="12" t="s">
        <v>283</v>
      </c>
      <c r="G1389" s="9" t="s">
        <v>309</v>
      </c>
      <c r="H1389" s="62">
        <v>1</v>
      </c>
      <c r="I1389" s="63" t="s">
        <v>351</v>
      </c>
      <c r="J1389" s="11">
        <v>45384</v>
      </c>
      <c r="K1389" s="7">
        <v>0.7</v>
      </c>
      <c r="L1389" s="9">
        <f t="shared" si="122"/>
        <v>3</v>
      </c>
      <c r="M1389" s="4">
        <f>IF(Table3[[#This Row],[Afrondingsdatum YB]]="N/A","-",Table3[[#This Row],[Afrondingsdatum YB]]-Table3[[#This Row],[StartDatum]])</f>
        <v>57</v>
      </c>
      <c r="N1389" s="4"/>
      <c r="O1389">
        <v>3</v>
      </c>
      <c r="P1389" t="s">
        <v>403</v>
      </c>
      <c r="V1389"/>
      <c r="W1389" s="5"/>
      <c r="X1389" s="66" t="s">
        <v>405</v>
      </c>
    </row>
    <row r="1390" spans="1:24" x14ac:dyDescent="0.2">
      <c r="A1390" s="9" t="s">
        <v>425</v>
      </c>
      <c r="B1390" s="9">
        <v>3</v>
      </c>
      <c r="C1390" s="25">
        <v>13</v>
      </c>
      <c r="D1390" s="12">
        <v>45327</v>
      </c>
      <c r="E1390" s="12">
        <v>45425</v>
      </c>
      <c r="F1390" s="12" t="s">
        <v>280</v>
      </c>
      <c r="G1390" s="9" t="s">
        <v>318</v>
      </c>
      <c r="H1390" s="62">
        <v>0.39</v>
      </c>
      <c r="I1390" s="63" t="s">
        <v>330</v>
      </c>
      <c r="J1390" s="9" t="s">
        <v>7</v>
      </c>
      <c r="K1390" s="9" t="s">
        <v>9</v>
      </c>
      <c r="L1390" s="9">
        <f t="shared" si="122"/>
        <v>2</v>
      </c>
      <c r="M1390" s="4" t="str">
        <f>IF(Table3[[#This Row],[Afrondingsdatum YB]]="N/A","-",Table3[[#This Row],[Afrondingsdatum YB]]-Table3[[#This Row],[StartDatum]])</f>
        <v>-</v>
      </c>
      <c r="N1390" s="4"/>
      <c r="O1390">
        <v>2</v>
      </c>
      <c r="P1390" t="s">
        <v>402</v>
      </c>
      <c r="V1390"/>
      <c r="W1390" s="5"/>
      <c r="X1390" s="9"/>
    </row>
    <row r="1391" spans="1:24" x14ac:dyDescent="0.2">
      <c r="A1391" s="9" t="s">
        <v>425</v>
      </c>
      <c r="B1391" s="9">
        <v>3</v>
      </c>
      <c r="C1391" s="25">
        <v>13</v>
      </c>
      <c r="D1391" s="12">
        <v>45327</v>
      </c>
      <c r="E1391" s="12">
        <v>45425</v>
      </c>
      <c r="F1391" s="12" t="s">
        <v>283</v>
      </c>
      <c r="G1391" s="9" t="s">
        <v>357</v>
      </c>
      <c r="H1391" s="62">
        <v>0.03</v>
      </c>
      <c r="I1391" s="63" t="s">
        <v>70</v>
      </c>
      <c r="J1391" s="9" t="s">
        <v>7</v>
      </c>
      <c r="K1391" s="9" t="s">
        <v>9</v>
      </c>
      <c r="L1391" s="9">
        <f>SUM(O1391:W1391)</f>
        <v>1</v>
      </c>
      <c r="M1391" s="4" t="str">
        <f>IF(Table3[[#This Row],[Afrondingsdatum YB]]="N/A","-",Table3[[#This Row],[Afrondingsdatum YB]]-Table3[[#This Row],[StartDatum]])</f>
        <v>-</v>
      </c>
      <c r="N1391" s="4"/>
      <c r="O1391">
        <v>1</v>
      </c>
      <c r="P1391" t="s">
        <v>406</v>
      </c>
      <c r="R1391" s="66" t="s">
        <v>404</v>
      </c>
      <c r="S1391" s="66" t="s">
        <v>398</v>
      </c>
      <c r="T1391" s="66" t="s">
        <v>383</v>
      </c>
      <c r="U1391" s="66" t="s">
        <v>399</v>
      </c>
      <c r="V1391" s="66" t="s">
        <v>400</v>
      </c>
      <c r="W1391" s="66" t="s">
        <v>401</v>
      </c>
      <c r="X1391" s="9"/>
    </row>
    <row r="1392" spans="1:24" x14ac:dyDescent="0.2">
      <c r="A1392" s="9" t="s">
        <v>425</v>
      </c>
      <c r="B1392" s="9">
        <v>3</v>
      </c>
      <c r="C1392" s="25">
        <v>13</v>
      </c>
      <c r="D1392" s="12">
        <v>45327</v>
      </c>
      <c r="E1392" s="12">
        <v>45425</v>
      </c>
      <c r="F1392" s="12" t="s">
        <v>283</v>
      </c>
      <c r="G1392" s="9" t="s">
        <v>310</v>
      </c>
      <c r="H1392" s="62">
        <v>1</v>
      </c>
      <c r="I1392" s="63" t="s">
        <v>352</v>
      </c>
      <c r="J1392" s="11">
        <v>45389</v>
      </c>
      <c r="K1392" s="7">
        <v>0.85</v>
      </c>
      <c r="L1392" s="9">
        <f t="shared" si="122"/>
        <v>0</v>
      </c>
      <c r="M1392" s="4">
        <f>IF(Table3[[#This Row],[Afrondingsdatum YB]]="N/A","-",Table3[[#This Row],[Afrondingsdatum YB]]-Table3[[#This Row],[StartDatum]])</f>
        <v>62</v>
      </c>
      <c r="N1392" s="4"/>
      <c r="V1392"/>
      <c r="W1392" s="5"/>
      <c r="X1392" s="9"/>
    </row>
    <row r="1393" spans="1:24" x14ac:dyDescent="0.2">
      <c r="A1393" s="9" t="s">
        <v>425</v>
      </c>
      <c r="B1393" s="9">
        <v>3</v>
      </c>
      <c r="C1393" s="25">
        <v>13</v>
      </c>
      <c r="D1393" s="12">
        <v>45327</v>
      </c>
      <c r="E1393" s="12">
        <v>45425</v>
      </c>
      <c r="F1393" s="12" t="s">
        <v>280</v>
      </c>
      <c r="G1393" s="9" t="s">
        <v>322</v>
      </c>
      <c r="H1393" s="62">
        <v>1</v>
      </c>
      <c r="I1393" s="63" t="s">
        <v>158</v>
      </c>
      <c r="J1393" s="11">
        <v>45368</v>
      </c>
      <c r="K1393" s="7">
        <v>0.85</v>
      </c>
      <c r="L1393" s="9">
        <f t="shared" si="122"/>
        <v>0</v>
      </c>
      <c r="M1393" s="4">
        <f>IF(Table3[[#This Row],[Afrondingsdatum YB]]="N/A","-",Table3[[#This Row],[Afrondingsdatum YB]]-Table3[[#This Row],[StartDatum]])</f>
        <v>41</v>
      </c>
      <c r="N1393" s="4"/>
      <c r="P1393" t="s">
        <v>410</v>
      </c>
      <c r="V1393"/>
      <c r="W1393" s="5"/>
      <c r="X1393" s="9"/>
    </row>
    <row r="1394" spans="1:24" x14ac:dyDescent="0.2">
      <c r="A1394" s="9" t="s">
        <v>425</v>
      </c>
      <c r="B1394" s="9">
        <v>3</v>
      </c>
      <c r="C1394" s="25">
        <v>13</v>
      </c>
      <c r="D1394" s="12">
        <v>45327</v>
      </c>
      <c r="E1394" s="12">
        <v>45425</v>
      </c>
      <c r="F1394" s="12" t="s">
        <v>283</v>
      </c>
      <c r="G1394" s="9" t="s">
        <v>311</v>
      </c>
      <c r="H1394" s="62">
        <v>1</v>
      </c>
      <c r="I1394" s="63" t="s">
        <v>164</v>
      </c>
      <c r="J1394" s="11">
        <v>45383</v>
      </c>
      <c r="K1394" s="7">
        <v>0.78</v>
      </c>
      <c r="L1394" s="9">
        <f t="shared" si="122"/>
        <v>0</v>
      </c>
      <c r="M1394" s="4">
        <f>IF(Table3[[#This Row],[Afrondingsdatum YB]]="N/A","-",Table3[[#This Row],[Afrondingsdatum YB]]-Table3[[#This Row],[StartDatum]])</f>
        <v>56</v>
      </c>
      <c r="N1394" s="4"/>
      <c r="P1394" t="s">
        <v>411</v>
      </c>
      <c r="V1394"/>
      <c r="W1394" s="5"/>
      <c r="X1394" s="9"/>
    </row>
    <row r="1395" spans="1:24" x14ac:dyDescent="0.2">
      <c r="A1395" s="9" t="s">
        <v>425</v>
      </c>
      <c r="B1395" s="9">
        <v>3</v>
      </c>
      <c r="C1395" s="25">
        <v>13</v>
      </c>
      <c r="D1395" s="12">
        <v>45327</v>
      </c>
      <c r="E1395" s="12">
        <v>45425</v>
      </c>
      <c r="F1395" s="12" t="s">
        <v>283</v>
      </c>
      <c r="G1395" s="9" t="s">
        <v>340</v>
      </c>
      <c r="H1395" s="62">
        <v>1</v>
      </c>
      <c r="I1395" s="63" t="s">
        <v>341</v>
      </c>
      <c r="J1395" s="11">
        <v>45375</v>
      </c>
      <c r="K1395" s="7">
        <v>0.9</v>
      </c>
      <c r="L1395" s="9">
        <f t="shared" si="122"/>
        <v>0</v>
      </c>
      <c r="M1395" s="4">
        <f>IF(Table3[[#This Row],[Afrondingsdatum YB]]="N/A","-",Table3[[#This Row],[Afrondingsdatum YB]]-Table3[[#This Row],[StartDatum]])</f>
        <v>48</v>
      </c>
      <c r="N1395" s="4"/>
      <c r="P1395" t="s">
        <v>412</v>
      </c>
      <c r="V1395"/>
      <c r="W1395" s="5"/>
      <c r="X1395" s="9"/>
    </row>
    <row r="1396" spans="1:24" x14ac:dyDescent="0.2">
      <c r="A1396" s="9" t="s">
        <v>425</v>
      </c>
      <c r="B1396" s="9">
        <v>3</v>
      </c>
      <c r="C1396" s="25">
        <v>13</v>
      </c>
      <c r="D1396" s="12">
        <v>45327</v>
      </c>
      <c r="E1396" s="12">
        <v>45425</v>
      </c>
      <c r="F1396" s="12" t="s">
        <v>280</v>
      </c>
      <c r="G1396" s="9" t="s">
        <v>312</v>
      </c>
      <c r="H1396" s="62">
        <v>0.99</v>
      </c>
      <c r="I1396" s="63" t="s">
        <v>179</v>
      </c>
      <c r="J1396" s="9" t="s">
        <v>7</v>
      </c>
      <c r="K1396" s="9" t="s">
        <v>9</v>
      </c>
      <c r="L1396" s="9">
        <f t="shared" si="122"/>
        <v>0</v>
      </c>
      <c r="M1396" s="4" t="str">
        <f>IF(Table3[[#This Row],[Afrondingsdatum YB]]="N/A","-",Table3[[#This Row],[Afrondingsdatum YB]]-Table3[[#This Row],[StartDatum]])</f>
        <v>-</v>
      </c>
      <c r="N1396" s="4"/>
      <c r="P1396" t="s">
        <v>413</v>
      </c>
      <c r="V1396"/>
      <c r="W1396" s="5"/>
      <c r="X1396" s="9"/>
    </row>
    <row r="1397" spans="1:24" x14ac:dyDescent="0.2">
      <c r="A1397" s="9" t="s">
        <v>425</v>
      </c>
      <c r="B1397" s="9">
        <v>3</v>
      </c>
      <c r="C1397" s="25">
        <v>13</v>
      </c>
      <c r="D1397" s="12">
        <v>45327</v>
      </c>
      <c r="E1397" s="12">
        <v>45425</v>
      </c>
      <c r="F1397" s="12" t="s">
        <v>283</v>
      </c>
      <c r="G1397" s="9" t="s">
        <v>323</v>
      </c>
      <c r="H1397" s="62">
        <v>1</v>
      </c>
      <c r="I1397" s="63" t="s">
        <v>187</v>
      </c>
      <c r="J1397" s="11">
        <v>45384</v>
      </c>
      <c r="K1397" s="7">
        <v>0.75</v>
      </c>
      <c r="L1397" s="9">
        <f t="shared" si="122"/>
        <v>0</v>
      </c>
      <c r="M1397" s="4">
        <f>IF(Table3[[#This Row],[Afrondingsdatum YB]]="N/A","-",Table3[[#This Row],[Afrondingsdatum YB]]-Table3[[#This Row],[StartDatum]])</f>
        <v>57</v>
      </c>
      <c r="N1397" s="4"/>
      <c r="P1397" t="s">
        <v>414</v>
      </c>
      <c r="V1397"/>
      <c r="W1397" s="5"/>
      <c r="X1397" s="9"/>
    </row>
    <row r="1399" spans="1:24" x14ac:dyDescent="0.2">
      <c r="K1399" t="s">
        <v>418</v>
      </c>
      <c r="L1399" s="71" cm="1">
        <f t="array" ref="L1399">AVERAGE(_xlfn._xlws.FILTER(Table3[TimeToComplete],Table3[Week]=13))</f>
        <v>53.934065934065934</v>
      </c>
      <c r="O1399" t="s">
        <v>420</v>
      </c>
    </row>
    <row r="1400" spans="1:24" x14ac:dyDescent="0.2">
      <c r="K1400" t="s">
        <v>377</v>
      </c>
      <c r="L1400" s="72" cm="1">
        <f t="array" ref="L1400">COUNT(_xlfn._xlws.FILTER(Table3[TimeToComplete],Table3[Week]=13))</f>
        <v>91</v>
      </c>
      <c r="O1400" t="s">
        <v>421</v>
      </c>
    </row>
    <row r="1401" spans="1:24" x14ac:dyDescent="0.2">
      <c r="B1401" s="69" t="s">
        <v>415</v>
      </c>
      <c r="K1401" t="s">
        <v>419</v>
      </c>
      <c r="L1401" s="73" cm="1">
        <f t="array" ref="L1401">_xlfn.STDEV.S(_xlfn._xlws.FILTER(Table3[TimeToComplete],Table3[Week]=13))</f>
        <v>12.379914016755977</v>
      </c>
      <c r="O1401" t="s">
        <v>422</v>
      </c>
    </row>
    <row r="1402" spans="1:24" x14ac:dyDescent="0.2">
      <c r="K1402" s="74" t="s">
        <v>377</v>
      </c>
      <c r="L1402" s="75" cm="1">
        <f t="array" ref="L1402">COUNT(_xlfn._xlws.FILTER(Table3[TimeToComplete],Table3[TimeToComplete]&lt;57,Table3[Week]=13))</f>
        <v>52</v>
      </c>
      <c r="O1402" t="s">
        <v>423</v>
      </c>
    </row>
    <row r="1403" spans="1:24" x14ac:dyDescent="0.2">
      <c r="K1403" s="74" t="s">
        <v>377</v>
      </c>
      <c r="L1403" s="75" cm="1">
        <f t="array" ref="L1403">COUNT(_xlfn._xlws.FILTER(Table3[TimeToComplete],Table3[TimeToComplete]&gt;=57,Table3[Week]=13))</f>
        <v>473</v>
      </c>
    </row>
    <row r="1404" spans="1:24" x14ac:dyDescent="0.2">
      <c r="M1404" t="s">
        <v>377</v>
      </c>
      <c r="N1404" t="s">
        <v>377</v>
      </c>
      <c r="O1404" t="s">
        <v>377</v>
      </c>
    </row>
    <row r="1405" spans="1:24" x14ac:dyDescent="0.2">
      <c r="A1405" s="9" t="s">
        <v>374</v>
      </c>
      <c r="B1405" s="9" t="s">
        <v>375</v>
      </c>
      <c r="E1405" s="41" t="s">
        <v>366</v>
      </c>
      <c r="F1405" s="7" t="s">
        <v>372</v>
      </c>
      <c r="G1405" s="7" t="s">
        <v>373</v>
      </c>
      <c r="H1405" s="42" t="s">
        <v>369</v>
      </c>
      <c r="I1405" s="43" t="s">
        <v>370</v>
      </c>
      <c r="J1405" t="s">
        <v>391</v>
      </c>
      <c r="K1405" t="s">
        <v>392</v>
      </c>
      <c r="M1405" s="41" t="s">
        <v>371</v>
      </c>
      <c r="N1405" s="44" t="s">
        <v>376</v>
      </c>
      <c r="O1405" s="44" t="s">
        <v>424</v>
      </c>
      <c r="P1405" t="s">
        <v>418</v>
      </c>
      <c r="Q1405" t="s">
        <v>419</v>
      </c>
    </row>
    <row r="1407" spans="1:24" x14ac:dyDescent="0.2">
      <c r="A1407" s="9">
        <v>1</v>
      </c>
      <c r="B1407" s="9">
        <v>13</v>
      </c>
      <c r="C1407" s="9" t="s">
        <v>367</v>
      </c>
      <c r="D1407" s="9" t="s">
        <v>362</v>
      </c>
      <c r="E1407" s="9" cm="1">
        <f t="array" ref="E1407">COUNTA(_xlfn.UNIQUE(_xlfn._xlws.FILTER(Table3[Student e-mailadres],Table3[Klas]=D1407)))</f>
        <v>21</v>
      </c>
      <c r="F1407" s="12">
        <v>45173</v>
      </c>
      <c r="G1407" s="12">
        <v>45240</v>
      </c>
      <c r="H1407" s="37" cm="1">
        <f t="array" ref="H1407">MIN(_xlfn._xlws.FILTER($J$2:$J$1397,$F$2:$F$1397=$D1407))</f>
        <v>45214</v>
      </c>
      <c r="I1407" s="37" cm="1">
        <f t="array" ref="I1407">MAX(_xlfn._xlws.FILTER($J$2:$J$1397,$F$2:$F$1397=$D1407))</f>
        <v>45260</v>
      </c>
      <c r="J1407" s="45">
        <f>_xlfn.DAYS(H1407,F1407)</f>
        <v>41</v>
      </c>
      <c r="K1407" s="46">
        <f>_xlfn.DAYS(I1407,F1407)</f>
        <v>87</v>
      </c>
      <c r="L1407" s="46"/>
      <c r="M1407">
        <f>COUNTIFS(Table3[Week],B1407,Table3[Klas],D1407,Table3[Afrondingsdatum YB],"N/A")</f>
        <v>7</v>
      </c>
      <c r="N1407">
        <f>COUNTIFS(Table3[Week],B1407,$F$2:$F$1397,D1407,$J$2:$J$1397,"&lt;&gt;N/A")</f>
        <v>14</v>
      </c>
      <c r="O1407" s="51">
        <f t="shared" ref="O1407:O1412" si="123">M1407+N1407</f>
        <v>21</v>
      </c>
    </row>
    <row r="1408" spans="1:24" x14ac:dyDescent="0.2">
      <c r="A1408" s="9">
        <v>1</v>
      </c>
      <c r="B1408" s="9">
        <v>13</v>
      </c>
      <c r="C1408" s="9" t="s">
        <v>367</v>
      </c>
      <c r="D1408" s="9" t="s">
        <v>363</v>
      </c>
      <c r="E1408" s="9" cm="1">
        <f t="array" ref="E1408">COUNTA(_xlfn.UNIQUE(_xlfn._xlws.FILTER(Table3[Student e-mailadres],Table3[Klas]=D1408)))</f>
        <v>25</v>
      </c>
      <c r="F1408" s="12">
        <v>45173</v>
      </c>
      <c r="G1408" s="12">
        <v>45240</v>
      </c>
      <c r="H1408" s="37" cm="1">
        <f t="array" ref="H1408">MIN(_xlfn._xlws.FILTER($J$2:$J$1397,$F$2:$F$1397=$D1408))</f>
        <v>45197</v>
      </c>
      <c r="I1408" s="37" cm="1">
        <f t="array" ref="I1408">MAX(_xlfn._xlws.FILTER($J$2:$J$1397,$F$2:$F$1397=$D1408))</f>
        <v>45231</v>
      </c>
      <c r="J1408" s="45">
        <f>_xlfn.DAYS(H1408,F1408)</f>
        <v>24</v>
      </c>
      <c r="K1408" s="46">
        <f>_xlfn.DAYS(I1408,F1408)</f>
        <v>58</v>
      </c>
      <c r="L1408" s="46"/>
      <c r="M1408">
        <f>COUNTIFS($C$2:$C$1397,B1408,$F$2:$F$1397,D1408,$J$2:$J$1397,"N/A")</f>
        <v>3</v>
      </c>
      <c r="N1408">
        <f>COUNTIFS($C$2:$C$1397,B1408,$F$2:$F$1397,D1408,$J$2:$J$1397,"&lt;&gt;N/A")</f>
        <v>22</v>
      </c>
      <c r="O1408" s="51">
        <f t="shared" si="123"/>
        <v>25</v>
      </c>
    </row>
    <row r="1409" spans="1:15" x14ac:dyDescent="0.2">
      <c r="A1409" s="9">
        <v>1</v>
      </c>
      <c r="B1409" s="9">
        <v>13</v>
      </c>
      <c r="C1409" s="9" t="s">
        <v>367</v>
      </c>
      <c r="D1409" s="9" t="s">
        <v>364</v>
      </c>
      <c r="E1409" s="9" cm="1">
        <f t="array" ref="E1409">COUNTA(_xlfn.UNIQUE(_xlfn._xlws.FILTER(Table3[Student e-mailadres],Table3[Klas]=D1409)))</f>
        <v>29</v>
      </c>
      <c r="F1409" s="12">
        <v>45173</v>
      </c>
      <c r="G1409" s="12">
        <v>45240</v>
      </c>
      <c r="H1409" s="37" cm="1">
        <f t="array" ref="H1409">MIN(_xlfn._xlws.FILTER($J$2:$J$1397,$F$2:$F$1397=$D1409))</f>
        <v>45209</v>
      </c>
      <c r="I1409" s="37" cm="1">
        <f t="array" ref="I1409">MAX(_xlfn._xlws.FILTER($J$2:$J$1397,$F$2:$F$1397=$D1409))</f>
        <v>45253</v>
      </c>
      <c r="J1409" s="45">
        <f>_xlfn.DAYS(H1409,F1409)</f>
        <v>36</v>
      </c>
      <c r="K1409" s="46">
        <f>_xlfn.DAYS(I1409,F1409)</f>
        <v>80</v>
      </c>
      <c r="L1409" s="46"/>
      <c r="M1409">
        <f>COUNTIFS($C$2:$C$1397,B1409,$F$2:$F$1397,D1409,$J$2:$J$1397,"N/A")</f>
        <v>3</v>
      </c>
      <c r="N1409">
        <f>COUNTIFS($C$2:$C$1397,B1409,$F$2:$F$1397,D1409,$J$2:$J$1397,"&lt;&gt;N/A")</f>
        <v>26</v>
      </c>
      <c r="O1409" s="51">
        <f t="shared" si="123"/>
        <v>29</v>
      </c>
    </row>
    <row r="1410" spans="1:15" x14ac:dyDescent="0.2">
      <c r="A1410" s="9">
        <v>3</v>
      </c>
      <c r="B1410" s="9">
        <v>13</v>
      </c>
      <c r="C1410" s="9" t="s">
        <v>368</v>
      </c>
      <c r="D1410" s="9" t="s">
        <v>280</v>
      </c>
      <c r="E1410" s="97" cm="1">
        <f t="array" ref="E1410">COUNTA(_xlfn.UNIQUE(_xlfn._xlws.FILTER(Table3[Student e-mailadres],Table3[Klas]=D1410)))</f>
        <v>17</v>
      </c>
      <c r="F1410" s="12">
        <v>45327</v>
      </c>
      <c r="G1410" s="12">
        <v>45394</v>
      </c>
      <c r="H1410" s="37" cm="1">
        <f t="array" ref="H1410">MIN(_xlfn._xlws.FILTER($J$2:$J$1397,$F$2:$F$1397=$D1410))</f>
        <v>45368</v>
      </c>
      <c r="I1410" s="37" cm="1">
        <f t="array" ref="I1410">MAX(_xlfn._xlws.FILTER($J$2:$J$1397,$F$2:$F$1397=$D1410))</f>
        <v>45392</v>
      </c>
      <c r="J1410" s="45">
        <f>_xlfn.DAYS(H1410,F1410)</f>
        <v>41</v>
      </c>
      <c r="K1410" s="46">
        <f>_xlfn.DAYS(I1410,F1410)</f>
        <v>65</v>
      </c>
      <c r="L1410" s="46"/>
      <c r="M1410">
        <f>COUNTIFS($C$2:$C$1397,B1410,$F$2:$F$1397,D1410,$J$2:$J$1397,"N/A")</f>
        <v>10</v>
      </c>
      <c r="N1410">
        <f>COUNTIFS($C$2:$C$1397,B1410,$F$2:$F$1397,D1410,$J$2:$J$1397,"&lt;&gt;N/A")</f>
        <v>6</v>
      </c>
      <c r="O1410" s="51">
        <f t="shared" si="123"/>
        <v>16</v>
      </c>
    </row>
    <row r="1411" spans="1:15" x14ac:dyDescent="0.2">
      <c r="A1411" s="9">
        <v>3</v>
      </c>
      <c r="B1411" s="9">
        <v>13</v>
      </c>
      <c r="C1411" s="9" t="s">
        <v>368</v>
      </c>
      <c r="D1411" s="9" t="s">
        <v>283</v>
      </c>
      <c r="E1411" s="98" cm="1">
        <f t="array" ref="E1411">COUNTA(_xlfn.UNIQUE(_xlfn._xlws.FILTER(Table3[Student e-mailadres],Table3[Klas]=D1411)))</f>
        <v>27</v>
      </c>
      <c r="F1411" s="12">
        <v>45327</v>
      </c>
      <c r="G1411" s="12">
        <v>45394</v>
      </c>
      <c r="H1411" s="37" cm="1">
        <f t="array" ref="H1411">MIN(_xlfn._xlws.FILTER($J$2:$J$1397,$F$2:$F$1397=$D1411))</f>
        <v>45345</v>
      </c>
      <c r="I1411" s="37" cm="1">
        <f t="array" ref="I1411">MAX(_xlfn._xlws.FILTER($J$2:$J$1397,$F$2:$F$1397=$D1411))</f>
        <v>45397</v>
      </c>
      <c r="J1411" s="49">
        <f>_xlfn.DAYS(H1411,F1411)</f>
        <v>18</v>
      </c>
      <c r="K1411" s="48">
        <f>_xlfn.DAYS(I1411,F1411)</f>
        <v>70</v>
      </c>
      <c r="L1411" s="48"/>
      <c r="M1411" s="52">
        <f>COUNTIFS($C$2:$C$1397,B1411,$F$2:$F$1397,D1411,$J$2:$J$1397,"N/A")</f>
        <v>2</v>
      </c>
      <c r="N1411" s="52">
        <f>COUNTIFS($C$2:$C$1397,B1411,$F$2:$F$1397,D1411,$J$2:$J$1397,"&lt;&gt;N/A")</f>
        <v>23</v>
      </c>
      <c r="O1411" s="96">
        <f t="shared" si="123"/>
        <v>25</v>
      </c>
    </row>
    <row r="1412" spans="1:15" x14ac:dyDescent="0.2">
      <c r="B1412" s="9">
        <v>13</v>
      </c>
      <c r="D1412" s="9" t="s">
        <v>365</v>
      </c>
      <c r="E1412" s="9">
        <f>SUM(E1407:E1411)</f>
        <v>119</v>
      </c>
      <c r="H1412" s="37">
        <f>MIN($J$2:$J$1397)</f>
        <v>45197</v>
      </c>
      <c r="I1412" s="37">
        <f>MAX($J$2:$J$1397)</f>
        <v>45397</v>
      </c>
      <c r="J1412" s="47">
        <f>MIN(J1407:J1411)</f>
        <v>18</v>
      </c>
      <c r="K1412" s="47">
        <f>MAX(K1407:K1411)</f>
        <v>87</v>
      </c>
      <c r="L1412" s="47"/>
      <c r="M1412">
        <f>SUM(M1407:M1411)</f>
        <v>25</v>
      </c>
      <c r="N1412">
        <f>SUM(N1407:N1411)</f>
        <v>91</v>
      </c>
      <c r="O1412">
        <f t="shared" si="123"/>
        <v>116</v>
      </c>
    </row>
    <row r="1413" spans="1:15" x14ac:dyDescent="0.2">
      <c r="J1413" s="55"/>
      <c r="K1413" s="55"/>
      <c r="L1413" s="55"/>
    </row>
    <row r="1414" spans="1:15" x14ac:dyDescent="0.2">
      <c r="N1414" t="s">
        <v>393</v>
      </c>
    </row>
    <row r="1415" spans="1:15" x14ac:dyDescent="0.2">
      <c r="N1415" t="s">
        <v>394</v>
      </c>
    </row>
    <row r="1417" spans="1:15" x14ac:dyDescent="0.2">
      <c r="E1417" s="7"/>
      <c r="H1417" s="8"/>
      <c r="I1417"/>
    </row>
    <row r="1418" spans="1:15" x14ac:dyDescent="0.2">
      <c r="C1418" s="9" t="s">
        <v>382</v>
      </c>
      <c r="D1418" s="9" t="s">
        <v>382</v>
      </c>
      <c r="E1418" s="7"/>
      <c r="H1418" s="8"/>
      <c r="I1418"/>
    </row>
    <row r="1419" spans="1:15" x14ac:dyDescent="0.2">
      <c r="C1419" s="9" t="s">
        <v>379</v>
      </c>
      <c r="D1419" s="9" t="s">
        <v>381</v>
      </c>
      <c r="E1419" s="7"/>
      <c r="H1419" s="8"/>
      <c r="I1419"/>
      <c r="O1419" t="s">
        <v>407</v>
      </c>
    </row>
    <row r="1420" spans="1:15" x14ac:dyDescent="0.2">
      <c r="C1420" s="9" t="s">
        <v>372</v>
      </c>
      <c r="D1420" s="9" t="s">
        <v>372</v>
      </c>
      <c r="E1420" s="7" t="s">
        <v>388</v>
      </c>
      <c r="F1420" s="7" t="s">
        <v>389</v>
      </c>
      <c r="G1420" s="7" t="s">
        <v>389</v>
      </c>
      <c r="H1420" s="8" t="s">
        <v>388</v>
      </c>
      <c r="I1420" s="7" t="s">
        <v>389</v>
      </c>
      <c r="O1420" t="s">
        <v>408</v>
      </c>
    </row>
    <row r="1421" spans="1:15" x14ac:dyDescent="0.2">
      <c r="C1421" s="9" t="s">
        <v>380</v>
      </c>
      <c r="D1421" s="9" t="s">
        <v>380</v>
      </c>
      <c r="E1421" s="9" t="s">
        <v>362</v>
      </c>
      <c r="F1421" s="7" t="s">
        <v>363</v>
      </c>
      <c r="G1421" s="7" t="s">
        <v>364</v>
      </c>
      <c r="H1421" s="7" t="s">
        <v>280</v>
      </c>
      <c r="I1421" s="8" t="s">
        <v>283</v>
      </c>
      <c r="J1421" s="7" t="s">
        <v>379</v>
      </c>
      <c r="K1421" s="7" t="s">
        <v>381</v>
      </c>
      <c r="L1421" s="7" t="s">
        <v>390</v>
      </c>
    </row>
    <row r="1422" spans="1:15" x14ac:dyDescent="0.2">
      <c r="B1422" s="9">
        <v>1</v>
      </c>
      <c r="C1422" s="37">
        <v>45173</v>
      </c>
      <c r="D1422" s="37">
        <v>45327</v>
      </c>
      <c r="E1422" s="47">
        <f>COUNTIFS(Table3[Week],"="&amp;$B$1434,Table3[Klas],"="&amp;E$1421,Table3[Afrondingsdatum YB],"&gt;="&amp;$C1422,Table3[Afrondingsdatum YB],"&lt;"&amp;$C1423)</f>
        <v>0</v>
      </c>
      <c r="F1422" s="47">
        <f>COUNTIFS(Table3[Week],"="&amp;$B$1434,Table3[Klas],"="&amp;F$1421,Table3[Afrondingsdatum YB],"&gt;="&amp;$C1422,Table3[Afrondingsdatum YB],"&lt;"&amp;$C1423)</f>
        <v>0</v>
      </c>
      <c r="G1422" s="47">
        <f>COUNTIFS(Table3[Week],"="&amp;$B$1434,Table3[Klas],"="&amp;G$1421,Table3[Afrondingsdatum YB],"&gt;="&amp;$C1422,Table3[Afrondingsdatum YB],"&lt;"&amp;$C1423)</f>
        <v>0</v>
      </c>
      <c r="H1422" s="47">
        <f>COUNTIFS(Table3[Week],"="&amp;$B$1434,Table3[Klas],"="&amp;H$1421,Table3[Afrondingsdatum YB],"&gt;="&amp;$D1422,Table3[Afrondingsdatum YB],"&lt;"&amp;D1423)</f>
        <v>0</v>
      </c>
      <c r="I1422" s="47">
        <f>COUNTIFS(Table3[Week],"="&amp;$B$1434,Table3[Klas],"="&amp;I$1421,Table3[Afrondingsdatum YB],"&gt;="&amp;$D1422,Table3[Afrondingsdatum YB],"&lt;"&amp;D1423)</f>
        <v>0</v>
      </c>
      <c r="J1422" s="47">
        <f>COUNTIFS(Table3[Week],"="&amp;B$1434,Table3[Afrondingsdatum YB],"&gt;="&amp;C1422,Table3[Afrondingsdatum YB],"&lt;"&amp;C1423)</f>
        <v>0</v>
      </c>
      <c r="K1422" s="47">
        <f>COUNTIFS(Table3[Week],"="&amp;$B$1434,Table3[Afrondingsdatum YB],"&gt;="&amp;D1422,Table3[Afrondingsdatum YB],"&lt;"&amp;D1423)</f>
        <v>0</v>
      </c>
      <c r="L1422" s="55">
        <f t="shared" ref="L1422:L1434" si="124">SUM(E1422:I1422)</f>
        <v>0</v>
      </c>
    </row>
    <row r="1423" spans="1:15" x14ac:dyDescent="0.2">
      <c r="B1423" s="9">
        <v>2</v>
      </c>
      <c r="C1423" s="37">
        <v>45180</v>
      </c>
      <c r="D1423" s="37">
        <v>45334</v>
      </c>
      <c r="E1423" s="47">
        <f>COUNTIFS(Table3[Week],"="&amp;$B$1434,Table3[Klas],"="&amp;E$1421,Table3[Afrondingsdatum YB],"&gt;="&amp;$C1423,Table3[Afrondingsdatum YB],"&lt;"&amp;$C1424)</f>
        <v>0</v>
      </c>
      <c r="F1423" s="47">
        <f>COUNTIFS(Table3[Week],"="&amp;$B$1434,Table3[Klas],"="&amp;F$1421,Table3[Afrondingsdatum YB],"&gt;="&amp;$C1423,Table3[Afrondingsdatum YB],"&lt;"&amp;$C1424)</f>
        <v>0</v>
      </c>
      <c r="G1423" s="47">
        <f>COUNTIFS(Table3[Week],"="&amp;$B$1434,Table3[Klas],"="&amp;G$1421,Table3[Afrondingsdatum YB],"&gt;="&amp;$C1423,Table3[Afrondingsdatum YB],"&lt;"&amp;$C1424)</f>
        <v>0</v>
      </c>
      <c r="H1423" s="47">
        <f>COUNTIFS(Table3[Week],"="&amp;$B$1434,Table3[Klas],"="&amp;H$1421,Table3[Afrondingsdatum YB],"&gt;="&amp;$D1423,Table3[Afrondingsdatum YB],"&lt;"&amp;D1424)</f>
        <v>0</v>
      </c>
      <c r="I1423" s="47">
        <f>COUNTIFS(Table3[Week],"="&amp;$B$1434,Table3[Klas],"="&amp;I$1421,Table3[Afrondingsdatum YB],"&gt;="&amp;$D1423,Table3[Afrondingsdatum YB],"&lt;"&amp;D1424)</f>
        <v>0</v>
      </c>
      <c r="J1423" s="47">
        <f>COUNTIFS(Table3[Week],"="&amp;B$1434,Table3[Afrondingsdatum YB],"&gt;="&amp;C1423,Table3[Afrondingsdatum YB],"&lt;"&amp;C1424)</f>
        <v>0</v>
      </c>
      <c r="K1423" s="47">
        <f>COUNTIFS(Table3[Week],"="&amp;$B$1434,Table3[Afrondingsdatum YB],"&gt;="&amp;D1423,Table3[Afrondingsdatum YB],"&lt;"&amp;D1424)</f>
        <v>0</v>
      </c>
      <c r="L1423" s="55">
        <f t="shared" si="124"/>
        <v>0</v>
      </c>
    </row>
    <row r="1424" spans="1:15" x14ac:dyDescent="0.2">
      <c r="B1424" s="9">
        <v>3</v>
      </c>
      <c r="C1424" s="37">
        <v>45187</v>
      </c>
      <c r="D1424" s="37">
        <v>45341</v>
      </c>
      <c r="E1424" s="47">
        <f>COUNTIFS(Table3[Week],"="&amp;$B$1434,Table3[Klas],"="&amp;E$1421,Table3[Afrondingsdatum YB],"&gt;="&amp;$C1424,Table3[Afrondingsdatum YB],"&lt;"&amp;$C1425)</f>
        <v>0</v>
      </c>
      <c r="F1424" s="47">
        <f>COUNTIFS(Table3[Week],"="&amp;$B$1434,Table3[Klas],"="&amp;F$1421,Table3[Afrondingsdatum YB],"&gt;="&amp;$C1424,Table3[Afrondingsdatum YB],"&lt;"&amp;$C1425)</f>
        <v>0</v>
      </c>
      <c r="G1424" s="47">
        <f>COUNTIFS(Table3[Week],"="&amp;$B$1434,Table3[Klas],"="&amp;G$1421,Table3[Afrondingsdatum YB],"&gt;="&amp;$C1424,Table3[Afrondingsdatum YB],"&lt;"&amp;$C1425)</f>
        <v>0</v>
      </c>
      <c r="H1424" s="47">
        <f>COUNTIFS(Table3[Week],"="&amp;$B$1434,Table3[Klas],"="&amp;H$1421,Table3[Afrondingsdatum YB],"&gt;="&amp;$D1424,Table3[Afrondingsdatum YB],"&lt;"&amp;D1425)</f>
        <v>0</v>
      </c>
      <c r="I1424" s="47">
        <f>COUNTIFS(Table3[Week],"="&amp;$B$1434,Table3[Klas],"="&amp;I$1421,Table3[Afrondingsdatum YB],"&gt;="&amp;$D1424,Table3[Afrondingsdatum YB],"&lt;"&amp;D1425)</f>
        <v>1</v>
      </c>
      <c r="J1424" s="47">
        <f>COUNTIFS(Table3[Week],"="&amp;B$1434,Table3[Afrondingsdatum YB],"&gt;="&amp;C1424,Table3[Afrondingsdatum YB],"&lt;"&amp;C1425)</f>
        <v>0</v>
      </c>
      <c r="K1424" s="47">
        <f>COUNTIFS(Table3[Week],"="&amp;$B$1434,Table3[Afrondingsdatum YB],"&gt;="&amp;D1424,Table3[Afrondingsdatum YB],"&lt;"&amp;D1425)</f>
        <v>1</v>
      </c>
      <c r="L1424" s="55">
        <f t="shared" si="124"/>
        <v>1</v>
      </c>
      <c r="M1424" s="55">
        <f t="shared" ref="M1424:M1434" si="125">SUM(E1424:I1424)</f>
        <v>1</v>
      </c>
    </row>
    <row r="1425" spans="1:17" x14ac:dyDescent="0.2">
      <c r="B1425" s="9">
        <v>4</v>
      </c>
      <c r="C1425" s="37">
        <v>45194</v>
      </c>
      <c r="D1425" s="37">
        <v>45348</v>
      </c>
      <c r="E1425" s="47">
        <f>COUNTIFS(Table3[Week],"="&amp;$B$1434,Table3[Klas],"="&amp;E$1421,Table3[Afrondingsdatum YB],"&gt;="&amp;$C1425,Table3[Afrondingsdatum YB],"&lt;"&amp;$C1426)</f>
        <v>0</v>
      </c>
      <c r="F1425" s="47">
        <f>COUNTIFS(Table3[Week],"="&amp;$B$1434,Table3[Klas],"="&amp;F$1421,Table3[Afrondingsdatum YB],"&gt;="&amp;$C1425,Table3[Afrondingsdatum YB],"&lt;"&amp;$C1426)</f>
        <v>1</v>
      </c>
      <c r="G1425" s="47">
        <f>COUNTIFS(Table3[Week],"="&amp;$B$1434,Table3[Klas],"="&amp;G$1421,Table3[Afrondingsdatum YB],"&gt;="&amp;$C1425,Table3[Afrondingsdatum YB],"&lt;"&amp;$C1426)</f>
        <v>0</v>
      </c>
      <c r="H1425" s="47">
        <f>COUNTIFS(Table3[Week],"="&amp;$B$1434,Table3[Klas],"="&amp;H$1421,Table3[Afrondingsdatum YB],"&gt;="&amp;$D1425,Table3[Afrondingsdatum YB],"&lt;"&amp;D1426)</f>
        <v>0</v>
      </c>
      <c r="I1425" s="47">
        <f>COUNTIFS(Table3[Week],"="&amp;$B$1434,Table3[Klas],"="&amp;I$1421,Table3[Afrondingsdatum YB],"&gt;="&amp;$D1425,Table3[Afrondingsdatum YB],"&lt;"&amp;D1426)</f>
        <v>3</v>
      </c>
      <c r="J1425" s="47">
        <f>COUNTIFS(Table3[Week],"="&amp;B$1434,Table3[Afrondingsdatum YB],"&gt;="&amp;C1425,Table3[Afrondingsdatum YB],"&lt;"&amp;C1426)</f>
        <v>1</v>
      </c>
      <c r="K1425" s="47">
        <f>COUNTIFS(Table3[Week],"="&amp;$B$1434,Table3[Afrondingsdatum YB],"&gt;="&amp;D1425,Table3[Afrondingsdatum YB],"&lt;"&amp;D1426)</f>
        <v>3</v>
      </c>
      <c r="L1425" s="55">
        <f t="shared" si="124"/>
        <v>4</v>
      </c>
      <c r="M1425" s="55">
        <f t="shared" si="125"/>
        <v>4</v>
      </c>
    </row>
    <row r="1426" spans="1:17" x14ac:dyDescent="0.2">
      <c r="B1426" s="9">
        <v>5</v>
      </c>
      <c r="C1426" s="37">
        <v>45201</v>
      </c>
      <c r="D1426" s="37">
        <v>45355</v>
      </c>
      <c r="E1426" s="47">
        <f>COUNTIFS(Table3[Week],"="&amp;$B$1434,Table3[Klas],"="&amp;E$1421,Table3[Afrondingsdatum YB],"&gt;="&amp;$C1426,Table3[Afrondingsdatum YB],"&lt;"&amp;$C1427)</f>
        <v>0</v>
      </c>
      <c r="F1426" s="47">
        <f>COUNTIFS(Table3[Week],"="&amp;$B$1434,Table3[Klas],"="&amp;F$1421,Table3[Afrondingsdatum YB],"&gt;="&amp;$C1426,Table3[Afrondingsdatum YB],"&lt;"&amp;$C1427)</f>
        <v>1</v>
      </c>
      <c r="G1426" s="47">
        <f>COUNTIFS(Table3[Week],"="&amp;$B$1434,Table3[Klas],"="&amp;G$1421,Table3[Afrondingsdatum YB],"&gt;="&amp;$C1426,Table3[Afrondingsdatum YB],"&lt;"&amp;$C1427)</f>
        <v>0</v>
      </c>
      <c r="H1426" s="47">
        <f>COUNTIFS(Table3[Week],"="&amp;$B$1434,Table3[Klas],"="&amp;H$1421,Table3[Afrondingsdatum YB],"&gt;="&amp;$D1426,Table3[Afrondingsdatum YB],"&lt;"&amp;D1427)</f>
        <v>0</v>
      </c>
      <c r="I1426" s="47">
        <f>COUNTIFS(Table3[Week],"="&amp;$B$1434,Table3[Klas],"="&amp;I$1421,Table3[Afrondingsdatum YB],"&gt;="&amp;$D1426,Table3[Afrondingsdatum YB],"&lt;"&amp;D1427)</f>
        <v>1</v>
      </c>
      <c r="J1426" s="47">
        <f>COUNTIFS(Table3[Week],"="&amp;B$1434,Table3[Afrondingsdatum YB],"&gt;="&amp;C1426,Table3[Afrondingsdatum YB],"&lt;"&amp;C1427)</f>
        <v>1</v>
      </c>
      <c r="K1426" s="47">
        <f>COUNTIFS(Table3[Week],"="&amp;$B$1434,Table3[Afrondingsdatum YB],"&gt;="&amp;D1426,Table3[Afrondingsdatum YB],"&lt;"&amp;D1427)</f>
        <v>1</v>
      </c>
      <c r="L1426" s="55">
        <f t="shared" si="124"/>
        <v>2</v>
      </c>
      <c r="M1426" s="55">
        <f t="shared" si="125"/>
        <v>2</v>
      </c>
    </row>
    <row r="1427" spans="1:17" x14ac:dyDescent="0.2">
      <c r="B1427" s="9">
        <v>6</v>
      </c>
      <c r="C1427" s="37">
        <v>45208</v>
      </c>
      <c r="D1427" s="37">
        <v>45362</v>
      </c>
      <c r="E1427" s="47">
        <f>COUNTIFS(Table3[Week],"="&amp;$B$1434,Table3[Klas],"="&amp;E$1421,Table3[Afrondingsdatum YB],"&gt;="&amp;$C1427,Table3[Afrondingsdatum YB],"&lt;"&amp;$C1428)</f>
        <v>1</v>
      </c>
      <c r="F1427" s="47">
        <f>COUNTIFS(Table3[Week],"="&amp;$B$1434,Table3[Klas],"="&amp;F$1421,Table3[Afrondingsdatum YB],"&gt;="&amp;$C1427,Table3[Afrondingsdatum YB],"&lt;"&amp;$C1428)</f>
        <v>2</v>
      </c>
      <c r="G1427" s="47">
        <f>COUNTIFS(Table3[Week],"="&amp;$B$1434,Table3[Klas],"="&amp;G$1421,Table3[Afrondingsdatum YB],"&gt;="&amp;$C1427,Table3[Afrondingsdatum YB],"&lt;"&amp;$C1428)</f>
        <v>2</v>
      </c>
      <c r="H1427" s="47">
        <f>COUNTIFS(Table3[Week],"="&amp;$B$1434,Table3[Klas],"="&amp;H$1421,Table3[Afrondingsdatum YB],"&gt;="&amp;$D1427,Table3[Afrondingsdatum YB],"&lt;"&amp;D1428)</f>
        <v>1</v>
      </c>
      <c r="I1427" s="47">
        <f>COUNTIFS(Table3[Week],"="&amp;$B$1434,Table3[Klas],"="&amp;I$1421,Table3[Afrondingsdatum YB],"&gt;="&amp;$D1427,Table3[Afrondingsdatum YB],"&lt;"&amp;D1428)</f>
        <v>0</v>
      </c>
      <c r="J1427" s="47">
        <f>COUNTIFS(Table3[Week],"="&amp;B$1434,Table3[Afrondingsdatum YB],"&gt;="&amp;C1427,Table3[Afrondingsdatum YB],"&lt;"&amp;C1428)</f>
        <v>5</v>
      </c>
      <c r="K1427" s="47">
        <f>COUNTIFS(Table3[Week],"="&amp;$B$1434,Table3[Afrondingsdatum YB],"&gt;="&amp;D1427,Table3[Afrondingsdatum YB],"&lt;"&amp;D1428)</f>
        <v>1</v>
      </c>
      <c r="L1427" s="55">
        <f t="shared" si="124"/>
        <v>6</v>
      </c>
      <c r="M1427" s="55">
        <f t="shared" si="125"/>
        <v>6</v>
      </c>
    </row>
    <row r="1428" spans="1:17" x14ac:dyDescent="0.2">
      <c r="B1428" s="9">
        <v>7</v>
      </c>
      <c r="C1428" s="37">
        <v>45215</v>
      </c>
      <c r="D1428" s="37">
        <v>45369</v>
      </c>
      <c r="E1428" s="47">
        <f>COUNTIFS(Table3[Week],"="&amp;$B$1434,Table3[Klas],"="&amp;E$1421,Table3[Afrondingsdatum YB],"&gt;="&amp;$C1428,Table3[Afrondingsdatum YB],"&lt;"&amp;$C1429)</f>
        <v>0</v>
      </c>
      <c r="F1428" s="47">
        <f>COUNTIFS(Table3[Week],"="&amp;$B$1434,Table3[Klas],"="&amp;F$1421,Table3[Afrondingsdatum YB],"&gt;="&amp;$C1428,Table3[Afrondingsdatum YB],"&lt;"&amp;$C1429)</f>
        <v>1</v>
      </c>
      <c r="G1428" s="47">
        <f>COUNTIFS(Table3[Week],"="&amp;$B$1434,Table3[Klas],"="&amp;G$1421,Table3[Afrondingsdatum YB],"&gt;="&amp;$C1428,Table3[Afrondingsdatum YB],"&lt;"&amp;$C1429)</f>
        <v>7</v>
      </c>
      <c r="H1428" s="47">
        <f>COUNTIFS(Table3[Week],"="&amp;$B$1434,Table3[Klas],"="&amp;H$1421,Table3[Afrondingsdatum YB],"&gt;="&amp;$D1428,Table3[Afrondingsdatum YB],"&lt;"&amp;D1429)</f>
        <v>2</v>
      </c>
      <c r="I1428" s="47">
        <f>COUNTIFS(Table3[Week],"="&amp;$B$1434,Table3[Klas],"="&amp;I$1421,Table3[Afrondingsdatum YB],"&gt;="&amp;$D1428,Table3[Afrondingsdatum YB],"&lt;"&amp;D1429)</f>
        <v>1</v>
      </c>
      <c r="J1428" s="47">
        <f>COUNTIFS(Table3[Week],"="&amp;B$1434,Table3[Afrondingsdatum YB],"&gt;="&amp;C1428,Table3[Afrondingsdatum YB],"&lt;"&amp;C1429)</f>
        <v>8</v>
      </c>
      <c r="K1428" s="47">
        <f>COUNTIFS(Table3[Week],"="&amp;$B$1434,Table3[Afrondingsdatum YB],"&gt;="&amp;D1428,Table3[Afrondingsdatum YB],"&lt;"&amp;D1429)</f>
        <v>3</v>
      </c>
      <c r="L1428" s="55">
        <f t="shared" si="124"/>
        <v>11</v>
      </c>
      <c r="M1428" s="55">
        <f t="shared" si="125"/>
        <v>11</v>
      </c>
    </row>
    <row r="1429" spans="1:17" x14ac:dyDescent="0.2">
      <c r="B1429" s="9">
        <v>8</v>
      </c>
      <c r="C1429" s="37">
        <v>45222</v>
      </c>
      <c r="D1429" s="37">
        <v>45376</v>
      </c>
      <c r="E1429" s="47">
        <f>COUNTIFS(Table3[Week],"="&amp;$B$1434,Table3[Klas],"="&amp;E$1421,Table3[Afrondingsdatum YB],"&gt;="&amp;$C1429,Table3[Afrondingsdatum YB],"&lt;"&amp;$C1430)</f>
        <v>2</v>
      </c>
      <c r="F1429" s="47">
        <f>COUNTIFS(Table3[Week],"="&amp;$B$1434,Table3[Klas],"="&amp;F$1421,Table3[Afrondingsdatum YB],"&gt;="&amp;$C1429,Table3[Afrondingsdatum YB],"&lt;"&amp;$C1430)</f>
        <v>14</v>
      </c>
      <c r="G1429" s="47">
        <f>COUNTIFS(Table3[Week],"="&amp;$B$1434,Table3[Klas],"="&amp;G$1421,Table3[Afrondingsdatum YB],"&gt;="&amp;$C1429,Table3[Afrondingsdatum YB],"&lt;"&amp;$C1430)</f>
        <v>1</v>
      </c>
      <c r="H1429" s="47">
        <f>COUNTIFS(Table3[Week],"="&amp;$B$1434,Table3[Klas],"="&amp;H$1421,Table3[Afrondingsdatum YB],"&gt;="&amp;$D1429,Table3[Afrondingsdatum YB],"&lt;"&amp;D1430)</f>
        <v>1</v>
      </c>
      <c r="I1429" s="47">
        <f>COUNTIFS(Table3[Week],"="&amp;$B$1434,Table3[Klas],"="&amp;I$1421,Table3[Afrondingsdatum YB],"&gt;="&amp;$D1429,Table3[Afrondingsdatum YB],"&lt;"&amp;D1430)</f>
        <v>6</v>
      </c>
      <c r="J1429" s="47">
        <f>COUNTIFS(Table3[Week],"="&amp;B$1434,Table3[Afrondingsdatum YB],"&gt;="&amp;C1429,Table3[Afrondingsdatum YB],"&lt;"&amp;C1430)</f>
        <v>17</v>
      </c>
      <c r="K1429" s="47">
        <f>COUNTIFS(Table3[Week],"="&amp;$B$1434,Table3[Afrondingsdatum YB],"&gt;="&amp;D1429,Table3[Afrondingsdatum YB],"&lt;"&amp;D1430)</f>
        <v>7</v>
      </c>
      <c r="L1429" s="55">
        <f t="shared" si="124"/>
        <v>24</v>
      </c>
      <c r="M1429" s="55">
        <f t="shared" si="125"/>
        <v>24</v>
      </c>
      <c r="N1429" s="55">
        <f>SUM(L1424:L1429)</f>
        <v>48</v>
      </c>
      <c r="O1429" t="s">
        <v>395</v>
      </c>
      <c r="Q1429" s="67">
        <f>N1429/L$1438</f>
        <v>0.40336134453781514</v>
      </c>
    </row>
    <row r="1430" spans="1:17" x14ac:dyDescent="0.2">
      <c r="B1430" s="9">
        <v>9</v>
      </c>
      <c r="C1430" s="37">
        <v>45229</v>
      </c>
      <c r="D1430" s="37">
        <v>45383</v>
      </c>
      <c r="E1430" s="47">
        <f>COUNTIFS(Table3[Week],"="&amp;$B$1434,Table3[Klas],"="&amp;E$1421,Table3[Afrondingsdatum YB],"&gt;="&amp;$C1430,Table3[Afrondingsdatum YB],"&lt;"&amp;$C1431)</f>
        <v>1</v>
      </c>
      <c r="F1430" s="47">
        <f>COUNTIFS(Table3[Week],"="&amp;$B$1434,Table3[Klas],"="&amp;F$1421,Table3[Afrondingsdatum YB],"&gt;="&amp;$C1430,Table3[Afrondingsdatum YB],"&lt;"&amp;$C1431)</f>
        <v>3</v>
      </c>
      <c r="G1430" s="47">
        <f>COUNTIFS(Table3[Week],"="&amp;$B$1434,Table3[Klas],"="&amp;G$1421,Table3[Afrondingsdatum YB],"&gt;="&amp;$C1430,Table3[Afrondingsdatum YB],"&lt;"&amp;$C1431)</f>
        <v>4</v>
      </c>
      <c r="H1430" s="47">
        <f>COUNTIFS(Table3[Week],"="&amp;$B$1434,Table3[Klas],"="&amp;H$1421,Table3[Afrondingsdatum YB],"&gt;="&amp;$D1430,Table3[Afrondingsdatum YB],"&lt;"&amp;D1431)</f>
        <v>1</v>
      </c>
      <c r="I1430" s="47">
        <f>COUNTIFS(Table3[Week],"="&amp;$B$1434,Table3[Klas],"="&amp;I$1421,Table3[Afrondingsdatum YB],"&gt;="&amp;$D1430,Table3[Afrondingsdatum YB],"&lt;"&amp;D1431)</f>
        <v>7</v>
      </c>
      <c r="J1430" s="47">
        <f>COUNTIFS(Table3[Week],"="&amp;B$1434,Table3[Afrondingsdatum YB],"&gt;="&amp;C1430,Table3[Afrondingsdatum YB],"&lt;"&amp;C1431)</f>
        <v>8</v>
      </c>
      <c r="K1430" s="47">
        <f>COUNTIFS(Table3[Week],"="&amp;$B$1434,Table3[Afrondingsdatum YB],"&gt;="&amp;D1430,Table3[Afrondingsdatum YB],"&lt;"&amp;D1431)</f>
        <v>8</v>
      </c>
      <c r="L1430" s="55">
        <f t="shared" si="124"/>
        <v>16</v>
      </c>
      <c r="M1430" s="55">
        <f t="shared" si="125"/>
        <v>16</v>
      </c>
      <c r="N1430" s="55">
        <f>SUM(L1422:L1430)</f>
        <v>64</v>
      </c>
      <c r="O1430" t="s">
        <v>396</v>
      </c>
      <c r="Q1430" s="67">
        <f>N1430/L$1438</f>
        <v>0.53781512605042014</v>
      </c>
    </row>
    <row r="1431" spans="1:17" x14ac:dyDescent="0.2">
      <c r="B1431" s="9">
        <v>10</v>
      </c>
      <c r="C1431" s="37">
        <v>45236</v>
      </c>
      <c r="D1431" s="37">
        <v>45390</v>
      </c>
      <c r="E1431" s="47">
        <f>COUNTIFS(Table3[Week],"="&amp;$B$1434,Table3[Klas],"="&amp;E$1421,Table3[Afrondingsdatum YB],"&gt;="&amp;$C1431,Table3[Afrondingsdatum YB],"&lt;"&amp;$C1432)</f>
        <v>9</v>
      </c>
      <c r="F1431" s="47">
        <f>COUNTIFS(Table3[Week],"="&amp;$B$1434,Table3[Klas],"="&amp;F$1421,Table3[Afrondingsdatum YB],"&gt;="&amp;$C1431,Table3[Afrondingsdatum YB],"&lt;"&amp;$C1432)</f>
        <v>0</v>
      </c>
      <c r="G1431" s="47">
        <f>COUNTIFS(Table3[Week],"="&amp;$B$1434,Table3[Klas],"="&amp;G$1421,Table3[Afrondingsdatum YB],"&gt;="&amp;$C1431,Table3[Afrondingsdatum YB],"&lt;"&amp;$C1432)</f>
        <v>9</v>
      </c>
      <c r="H1431" s="47">
        <f>COUNTIFS(Table3[Week],"="&amp;$B$1434,Table3[Klas],"="&amp;H$1421,Table3[Afrondingsdatum YB],"&gt;="&amp;$D1431,Table3[Afrondingsdatum YB],"&lt;"&amp;D1432)</f>
        <v>1</v>
      </c>
      <c r="I1431" s="47">
        <f>COUNTIFS(Table3[Week],"="&amp;$B$1434,Table3[Klas],"="&amp;I$1421,Table3[Afrondingsdatum YB],"&gt;="&amp;$D1431,Table3[Afrondingsdatum YB],"&lt;"&amp;D1432)</f>
        <v>3</v>
      </c>
      <c r="J1431" s="47">
        <f>COUNTIFS(Table3[Week],"="&amp;B$1434,Table3[Afrondingsdatum YB],"&gt;="&amp;C1431,Table3[Afrondingsdatum YB],"&lt;"&amp;C1432)</f>
        <v>18</v>
      </c>
      <c r="K1431" s="47">
        <f>COUNTIFS(Table3[Week],"="&amp;$B$1434,Table3[Afrondingsdatum YB],"&gt;="&amp;D1431,Table3[Afrondingsdatum YB],"&lt;"&amp;D1432)</f>
        <v>4</v>
      </c>
      <c r="L1431" s="55">
        <f t="shared" si="124"/>
        <v>22</v>
      </c>
      <c r="M1431" s="55">
        <f t="shared" si="125"/>
        <v>22</v>
      </c>
      <c r="N1431" s="55">
        <f>SUM(L1422:L1431)</f>
        <v>86</v>
      </c>
      <c r="O1431" t="s">
        <v>397</v>
      </c>
      <c r="Q1431" s="67">
        <f>N1431/L$1438</f>
        <v>0.72268907563025209</v>
      </c>
    </row>
    <row r="1432" spans="1:17" x14ac:dyDescent="0.2">
      <c r="B1432" s="9">
        <v>11</v>
      </c>
      <c r="C1432" s="53">
        <v>45243</v>
      </c>
      <c r="D1432" s="53">
        <v>45397</v>
      </c>
      <c r="E1432" s="47">
        <f>COUNTIFS(Table3[Week],"="&amp;$B$1434,Table3[Klas],"="&amp;E$1421,Table3[Afrondingsdatum YB],"&gt;="&amp;$C1432,Table3[Afrondingsdatum YB],"&lt;"&amp;$C1433)</f>
        <v>1</v>
      </c>
      <c r="F1432" s="47">
        <f>COUNTIFS(Table3[Week],"="&amp;$B$1434,Table3[Klas],"="&amp;F$1421,Table3[Afrondingsdatum YB],"&gt;="&amp;$C1432,Table3[Afrondingsdatum YB],"&lt;"&amp;$C1433)</f>
        <v>0</v>
      </c>
      <c r="G1432" s="47">
        <f>COUNTIFS(Table3[Week],"="&amp;$B$1434,Table3[Klas],"="&amp;G$1421,Table3[Afrondingsdatum YB],"&gt;="&amp;$C1432,Table3[Afrondingsdatum YB],"&lt;"&amp;$C1433)</f>
        <v>2</v>
      </c>
      <c r="H1432" s="47">
        <f>COUNTIFS(Table3[Week],"="&amp;$B$1434,Table3[Klas],"="&amp;H$1421,Table3[Afrondingsdatum YB],"&gt;="&amp;$D1432,Table3[Afrondingsdatum YB],"&lt;"&amp;D1433)</f>
        <v>0</v>
      </c>
      <c r="I1432" s="47">
        <f>COUNTIFS(Table3[Week],"="&amp;$B$1434,Table3[Klas],"="&amp;I$1421,Table3[Afrondingsdatum YB],"&gt;="&amp;$D1432,Table3[Afrondingsdatum YB],"&lt;"&amp;D1433)</f>
        <v>1</v>
      </c>
      <c r="J1432" s="47">
        <f>COUNTIFS(Table3[Week],"="&amp;B$1434,Table3[Afrondingsdatum YB],"&gt;="&amp;C1432,Table3[Afrondingsdatum YB],"&lt;"&amp;C1433)</f>
        <v>3</v>
      </c>
      <c r="K1432" s="47">
        <f>COUNTIFS(Table3[Week],"="&amp;$B$1434,Table3[Afrondingsdatum YB],"&gt;="&amp;D1432,Table3[Afrondingsdatum YB],"&lt;"&amp;D1433)</f>
        <v>1</v>
      </c>
      <c r="L1432" s="55">
        <f t="shared" si="124"/>
        <v>4</v>
      </c>
      <c r="M1432" s="55">
        <f t="shared" si="125"/>
        <v>4</v>
      </c>
      <c r="N1432" s="55">
        <f>SUM(L1422:L1434)</f>
        <v>91</v>
      </c>
      <c r="O1432" t="s">
        <v>409</v>
      </c>
      <c r="Q1432" s="67">
        <f>N1432/L$1438</f>
        <v>0.76470588235294112</v>
      </c>
    </row>
    <row r="1433" spans="1:17" x14ac:dyDescent="0.2">
      <c r="B1433" s="9">
        <v>12</v>
      </c>
      <c r="C1433" s="53">
        <v>45250</v>
      </c>
      <c r="D1433" s="53">
        <v>45404</v>
      </c>
      <c r="E1433" s="47">
        <f>COUNTIFS(Table3[Week],"="&amp;$B$1434,Table3[Klas],"="&amp;E$1421,Table3[Afrondingsdatum YB],"&gt;="&amp;$C1433,Table3[Afrondingsdatum YB],"&lt;"&amp;$C1434)</f>
        <v>0</v>
      </c>
      <c r="F1433" s="47">
        <f>COUNTIFS(Table3[Week],"="&amp;$B$1434,Table3[Klas],"="&amp;F$1421,Table3[Afrondingsdatum YB],"&gt;="&amp;$C1433,Table3[Afrondingsdatum YB],"&lt;"&amp;$C1434)</f>
        <v>0</v>
      </c>
      <c r="G1433" s="47">
        <f>COUNTIFS(Table3[Week],"="&amp;$B$1434,Table3[Klas],"="&amp;G$1421,Table3[Afrondingsdatum YB],"&gt;="&amp;$C1433,Table3[Afrondingsdatum YB],"&lt;"&amp;$C1434)</f>
        <v>1</v>
      </c>
      <c r="H1433" s="47">
        <f>COUNTIFS(Table3[Week],"="&amp;$B$1434,Table3[Klas],"="&amp;H$1421,Table3[Afrondingsdatum YB],"&gt;="&amp;$D1433,Table3[Afrondingsdatum YB],"&lt;"&amp;D1434)</f>
        <v>0</v>
      </c>
      <c r="I1433" s="47">
        <f>COUNTIFS(Table3[Week],"="&amp;$B$1434,Table3[Klas],"="&amp;I$1421,Table3[Afrondingsdatum YB],"&gt;="&amp;$D1433,Table3[Afrondingsdatum YB],"&lt;"&amp;D1434)</f>
        <v>0</v>
      </c>
      <c r="J1433" s="47">
        <f>COUNTIFS(Table3[Week],"="&amp;B$1434,Table3[Afrondingsdatum YB],"&gt;="&amp;C1433,Table3[Afrondingsdatum YB],"&lt;"&amp;C1434)</f>
        <v>1</v>
      </c>
      <c r="K1433" s="47">
        <f>COUNTIFS(Table3[Week],"="&amp;$B$1434,Table3[Afrondingsdatum YB],"&gt;="&amp;D1433,Table3[Afrondingsdatum YB],"&lt;"&amp;D1434)</f>
        <v>0</v>
      </c>
      <c r="L1433" s="55">
        <f t="shared" si="124"/>
        <v>1</v>
      </c>
      <c r="M1433" s="55">
        <f t="shared" si="125"/>
        <v>1</v>
      </c>
    </row>
    <row r="1434" spans="1:17" x14ac:dyDescent="0.2">
      <c r="B1434" s="9">
        <v>13</v>
      </c>
      <c r="C1434" s="53">
        <v>45257</v>
      </c>
      <c r="D1434" s="53">
        <v>45411</v>
      </c>
      <c r="E1434" s="47">
        <f>COUNTIFS(Table3[Week],"="&amp;$B$1434,Table3[Klas],"="&amp;E$1421,Table3[Afrondingsdatum YB],"&gt;="&amp;$C1434,Table3[Afrondingsdatum YB],"&lt;"&amp;$C1435)</f>
        <v>0</v>
      </c>
      <c r="F1434" s="47">
        <f>COUNTIFS(Table3[Week],"="&amp;$B$1434,Table3[Klas],"="&amp;F$1421,Table3[Afrondingsdatum YB],"&gt;="&amp;$C1434,Table3[Afrondingsdatum YB],"&lt;"&amp;$C1435)</f>
        <v>0</v>
      </c>
      <c r="G1434" s="47">
        <f>COUNTIFS(Table3[Week],"="&amp;$B$1434,Table3[Klas],"="&amp;G$1421,Table3[Afrondingsdatum YB],"&gt;="&amp;$C1434,Table3[Afrondingsdatum YB],"&lt;"&amp;$C1435)</f>
        <v>0</v>
      </c>
      <c r="H1434" s="47">
        <f>COUNTIFS(Table3[Week],"="&amp;$B$1434,Table3[Klas],"="&amp;H$1421,Table3[Afrondingsdatum YB],"&gt;="&amp;$D1434,Table3[Afrondingsdatum YB],"&lt;"&amp;D1435)</f>
        <v>0</v>
      </c>
      <c r="I1434" s="47">
        <f>COUNTIFS(Table3[Week],"="&amp;$B$1434,Table3[Klas],"="&amp;I$1421,Table3[Afrondingsdatum YB],"&gt;="&amp;$D1434,Table3[Afrondingsdatum YB],"&lt;"&amp;D1435)</f>
        <v>0</v>
      </c>
      <c r="J1434" s="47">
        <f>COUNTIFS(Table3[Week],"="&amp;B$1434,Table3[Afrondingsdatum YB],"&gt;="&amp;C1434,Table3[Afrondingsdatum YB],"&lt;"&amp;C1435)</f>
        <v>0</v>
      </c>
      <c r="K1434" s="47">
        <f>COUNTIFS(Table3[Week],"="&amp;$B$1434,Table3[Afrondingsdatum YB],"&gt;="&amp;D1434,Table3[Afrondingsdatum YB],"&lt;"&amp;D1435)</f>
        <v>0</v>
      </c>
      <c r="L1434" s="55">
        <f t="shared" si="124"/>
        <v>0</v>
      </c>
      <c r="M1434" s="55">
        <f t="shared" si="125"/>
        <v>0</v>
      </c>
    </row>
    <row r="1435" spans="1:17" x14ac:dyDescent="0.2">
      <c r="C1435" s="56">
        <v>45264</v>
      </c>
      <c r="D1435" s="56">
        <v>45418</v>
      </c>
      <c r="E1435" s="47"/>
      <c r="F1435" s="47"/>
      <c r="G1435" s="47"/>
      <c r="H1435" s="47"/>
      <c r="I1435" s="47"/>
      <c r="J1435" s="47"/>
      <c r="K1435" s="47"/>
      <c r="L1435" s="55"/>
      <c r="M1435" s="55"/>
    </row>
    <row r="1436" spans="1:17" x14ac:dyDescent="0.2">
      <c r="C1436" s="54" t="s">
        <v>7</v>
      </c>
      <c r="D1436" s="54" t="s">
        <v>7</v>
      </c>
      <c r="E1436" s="47"/>
      <c r="F1436" s="47"/>
      <c r="G1436" s="47"/>
      <c r="H1436" s="47"/>
      <c r="I1436" s="47"/>
      <c r="J1436" s="47"/>
      <c r="K1436" s="47"/>
      <c r="L1436" s="55"/>
    </row>
    <row r="1437" spans="1:17" x14ac:dyDescent="0.2">
      <c r="A1437" s="45"/>
      <c r="C1437" s="9" t="s">
        <v>365</v>
      </c>
      <c r="D1437" s="9" t="s">
        <v>365</v>
      </c>
      <c r="E1437" s="47">
        <f t="shared" ref="E1437:K1437" si="126">SUM(E1422:E1436)</f>
        <v>14</v>
      </c>
      <c r="F1437" s="47">
        <f t="shared" si="126"/>
        <v>22</v>
      </c>
      <c r="G1437" s="47">
        <f t="shared" si="126"/>
        <v>26</v>
      </c>
      <c r="H1437" s="47">
        <f t="shared" si="126"/>
        <v>6</v>
      </c>
      <c r="I1437" s="47">
        <f t="shared" si="126"/>
        <v>23</v>
      </c>
      <c r="J1437" s="68">
        <f t="shared" si="126"/>
        <v>62</v>
      </c>
      <c r="K1437" s="68">
        <f t="shared" si="126"/>
        <v>29</v>
      </c>
      <c r="L1437" s="55">
        <f>SUM(E1437:I1437)</f>
        <v>91</v>
      </c>
      <c r="M1437" s="55">
        <f>SUM(L1422:L1434)</f>
        <v>91</v>
      </c>
    </row>
    <row r="1438" spans="1:17" x14ac:dyDescent="0.2">
      <c r="E1438" s="45">
        <v>21</v>
      </c>
      <c r="F1438" s="45">
        <v>25</v>
      </c>
      <c r="G1438" s="45">
        <v>29</v>
      </c>
      <c r="H1438" s="65">
        <v>17</v>
      </c>
      <c r="I1438" s="50">
        <v>27</v>
      </c>
      <c r="K1438" s="55"/>
      <c r="L1438" s="55">
        <f>SUM(E1438:I1438)</f>
        <v>119</v>
      </c>
    </row>
    <row r="1439" spans="1:17" x14ac:dyDescent="0.2">
      <c r="E1439" s="1">
        <f>E1437/E1438</f>
        <v>0.66666666666666663</v>
      </c>
      <c r="F1439" s="1">
        <f>F1437/F1438</f>
        <v>0.88</v>
      </c>
      <c r="G1439" s="1">
        <f>G1437/G1438</f>
        <v>0.89655172413793105</v>
      </c>
      <c r="H1439" s="1">
        <f>H1437/H1438</f>
        <v>0.35294117647058826</v>
      </c>
      <c r="I1439" s="1">
        <f>I1437/I1438</f>
        <v>0.85185185185185186</v>
      </c>
      <c r="K1439" s="1"/>
      <c r="L1439" s="1">
        <f>L1437/L1438</f>
        <v>0.76470588235294112</v>
      </c>
    </row>
  </sheetData>
  <conditionalFormatting sqref="G56">
    <cfRule type="duplicateValues" dxfId="59" priority="6"/>
  </conditionalFormatting>
  <conditionalFormatting sqref="G121">
    <cfRule type="duplicateValues" dxfId="58" priority="5"/>
  </conditionalFormatting>
  <conditionalFormatting sqref="G186">
    <cfRule type="duplicateValues" dxfId="57" priority="7"/>
  </conditionalFormatting>
  <conditionalFormatting sqref="G212">
    <cfRule type="duplicateValues" dxfId="56" priority="56"/>
  </conditionalFormatting>
  <conditionalFormatting sqref="G257">
    <cfRule type="duplicateValues" dxfId="55" priority="55"/>
  </conditionalFormatting>
  <conditionalFormatting sqref="G285">
    <cfRule type="duplicateValues" dxfId="54" priority="54"/>
  </conditionalFormatting>
  <conditionalFormatting sqref="G330">
    <cfRule type="duplicateValues" dxfId="53" priority="53"/>
  </conditionalFormatting>
  <conditionalFormatting sqref="G358">
    <cfRule type="duplicateValues" dxfId="52" priority="52"/>
  </conditionalFormatting>
  <conditionalFormatting sqref="G403">
    <cfRule type="duplicateValues" dxfId="51" priority="51"/>
  </conditionalFormatting>
  <conditionalFormatting sqref="G431">
    <cfRule type="duplicateValues" dxfId="50" priority="50"/>
  </conditionalFormatting>
  <conditionalFormatting sqref="G476">
    <cfRule type="duplicateValues" dxfId="49" priority="49"/>
  </conditionalFormatting>
  <conditionalFormatting sqref="G504">
    <cfRule type="duplicateValues" dxfId="48" priority="48"/>
  </conditionalFormatting>
  <conditionalFormatting sqref="G549">
    <cfRule type="duplicateValues" dxfId="47" priority="47"/>
  </conditionalFormatting>
  <conditionalFormatting sqref="G577">
    <cfRule type="duplicateValues" dxfId="46" priority="46"/>
  </conditionalFormatting>
  <conditionalFormatting sqref="G623">
    <cfRule type="duplicateValues" dxfId="45" priority="45"/>
  </conditionalFormatting>
  <conditionalFormatting sqref="G651">
    <cfRule type="duplicateValues" dxfId="44" priority="44"/>
  </conditionalFormatting>
  <conditionalFormatting sqref="G698">
    <cfRule type="duplicateValues" dxfId="43" priority="43"/>
  </conditionalFormatting>
  <conditionalFormatting sqref="G726">
    <cfRule type="duplicateValues" dxfId="42" priority="42"/>
  </conditionalFormatting>
  <conditionalFormatting sqref="G773">
    <cfRule type="duplicateValues" dxfId="41" priority="41"/>
  </conditionalFormatting>
  <conditionalFormatting sqref="G801">
    <cfRule type="duplicateValues" dxfId="40" priority="40"/>
  </conditionalFormatting>
  <conditionalFormatting sqref="G848">
    <cfRule type="duplicateValues" dxfId="39" priority="39"/>
  </conditionalFormatting>
  <conditionalFormatting sqref="G876">
    <cfRule type="duplicateValues" dxfId="38" priority="38"/>
  </conditionalFormatting>
  <conditionalFormatting sqref="G923">
    <cfRule type="duplicateValues" dxfId="37" priority="37"/>
  </conditionalFormatting>
  <conditionalFormatting sqref="G934:G963">
    <cfRule type="duplicateValues" dxfId="36" priority="36"/>
  </conditionalFormatting>
  <conditionalFormatting sqref="G964:G993">
    <cfRule type="duplicateValues" dxfId="35" priority="35"/>
  </conditionalFormatting>
  <conditionalFormatting sqref="G994:G1023">
    <cfRule type="duplicateValues" dxfId="34" priority="34"/>
  </conditionalFormatting>
  <conditionalFormatting sqref="G1055:G1082 G1084:G1085">
    <cfRule type="duplicateValues" dxfId="33" priority="33"/>
  </conditionalFormatting>
  <conditionalFormatting sqref="G1088:G1115 G1117:G1118">
    <cfRule type="duplicateValues" dxfId="32" priority="32"/>
  </conditionalFormatting>
  <conditionalFormatting sqref="G1121:G1148 G1150:G1151">
    <cfRule type="duplicateValues" dxfId="31" priority="31"/>
  </conditionalFormatting>
  <conditionalFormatting sqref="G1154">
    <cfRule type="duplicateValues" dxfId="30" priority="30"/>
  </conditionalFormatting>
  <conditionalFormatting sqref="G1155">
    <cfRule type="duplicateValues" dxfId="29" priority="29"/>
  </conditionalFormatting>
  <conditionalFormatting sqref="G1156">
    <cfRule type="duplicateValues" dxfId="28" priority="28"/>
  </conditionalFormatting>
  <conditionalFormatting sqref="G1157:G1184 G1186:G1187">
    <cfRule type="duplicateValues" dxfId="27" priority="27"/>
  </conditionalFormatting>
  <conditionalFormatting sqref="G1190">
    <cfRule type="duplicateValues" dxfId="26" priority="26"/>
  </conditionalFormatting>
  <conditionalFormatting sqref="G1191">
    <cfRule type="duplicateValues" dxfId="25" priority="25"/>
  </conditionalFormatting>
  <conditionalFormatting sqref="G1192">
    <cfRule type="duplicateValues" dxfId="24" priority="24"/>
  </conditionalFormatting>
  <conditionalFormatting sqref="G1196:G1223 G1225:G1226">
    <cfRule type="duplicateValues" dxfId="23" priority="23"/>
  </conditionalFormatting>
  <conditionalFormatting sqref="G1229">
    <cfRule type="duplicateValues" dxfId="22" priority="22"/>
  </conditionalFormatting>
  <conditionalFormatting sqref="G1230">
    <cfRule type="duplicateValues" dxfId="21" priority="21"/>
  </conditionalFormatting>
  <conditionalFormatting sqref="G1231">
    <cfRule type="duplicateValues" dxfId="20" priority="20"/>
  </conditionalFormatting>
  <conditionalFormatting sqref="G1235:G1262 G1264:G1265">
    <cfRule type="duplicateValues" dxfId="19" priority="19"/>
  </conditionalFormatting>
  <conditionalFormatting sqref="G1268">
    <cfRule type="duplicateValues" dxfId="18" priority="18"/>
  </conditionalFormatting>
  <conditionalFormatting sqref="G1269">
    <cfRule type="duplicateValues" dxfId="17" priority="17"/>
  </conditionalFormatting>
  <conditionalFormatting sqref="G1270">
    <cfRule type="duplicateValues" dxfId="16" priority="16"/>
  </conditionalFormatting>
  <conditionalFormatting sqref="G1275:G1302 G1304:G1305">
    <cfRule type="duplicateValues" dxfId="15" priority="15"/>
  </conditionalFormatting>
  <conditionalFormatting sqref="G1308">
    <cfRule type="duplicateValues" dxfId="14" priority="14"/>
  </conditionalFormatting>
  <conditionalFormatting sqref="G1309">
    <cfRule type="duplicateValues" dxfId="13" priority="13"/>
  </conditionalFormatting>
  <conditionalFormatting sqref="G1310">
    <cfRule type="duplicateValues" dxfId="12" priority="12"/>
  </conditionalFormatting>
  <conditionalFormatting sqref="G1316:G1343 G1345:G1346">
    <cfRule type="duplicateValues" dxfId="11" priority="11"/>
  </conditionalFormatting>
  <conditionalFormatting sqref="G1349">
    <cfRule type="duplicateValues" dxfId="10" priority="10"/>
  </conditionalFormatting>
  <conditionalFormatting sqref="G1350">
    <cfRule type="duplicateValues" dxfId="9" priority="9"/>
  </conditionalFormatting>
  <conditionalFormatting sqref="G1351">
    <cfRule type="duplicateValues" dxfId="8" priority="8"/>
  </conditionalFormatting>
  <conditionalFormatting sqref="G1357:G1384 G1386:G1387">
    <cfRule type="duplicateValues" dxfId="7" priority="4"/>
  </conditionalFormatting>
  <conditionalFormatting sqref="G1390">
    <cfRule type="duplicateValues" dxfId="6" priority="3"/>
  </conditionalFormatting>
  <conditionalFormatting sqref="G1391">
    <cfRule type="duplicateValues" dxfId="5" priority="2"/>
  </conditionalFormatting>
  <conditionalFormatting sqref="G1392">
    <cfRule type="duplicateValues" dxfId="4" priority="1"/>
  </conditionalFormatting>
  <hyperlinks>
    <hyperlink ref="G17" r:id="rId1" xr:uid="{34534B5C-7B6A-7F4D-82C6-D788BDFA760E}"/>
    <hyperlink ref="G78" r:id="rId2" xr:uid="{706FBFD7-6F7E-BC4D-9F2E-54D77F9B3B48}"/>
    <hyperlink ref="G143" r:id="rId3" xr:uid="{A74B22D4-8D2E-BA45-9C09-E6682DF5424A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453F-3C00-4745-999D-86AE2B7DDB0F}">
  <dimension ref="A1:H68"/>
  <sheetViews>
    <sheetView workbookViewId="0">
      <selection activeCell="A44" sqref="A44"/>
    </sheetView>
  </sheetViews>
  <sheetFormatPr baseColWidth="10" defaultRowHeight="16" x14ac:dyDescent="0.2"/>
  <cols>
    <col min="1" max="1" width="14.33203125" style="9" bestFit="1" customWidth="1"/>
    <col min="2" max="2" width="14.33203125" customWidth="1"/>
    <col min="3" max="3" width="29.83203125" bestFit="1" customWidth="1"/>
    <col min="4" max="4" width="22.1640625" bestFit="1" customWidth="1"/>
    <col min="5" max="5" width="28.83203125" bestFit="1" customWidth="1"/>
    <col min="6" max="6" width="28" bestFit="1" customWidth="1"/>
    <col min="7" max="7" width="22.83203125" bestFit="1" customWidth="1"/>
    <col min="8" max="8" width="30.6640625" bestFit="1" customWidth="1"/>
  </cols>
  <sheetData>
    <row r="1" spans="1:8" x14ac:dyDescent="0.2">
      <c r="A1" s="9" t="s">
        <v>5</v>
      </c>
      <c r="B1" t="s">
        <v>277</v>
      </c>
      <c r="C1" s="2" t="s">
        <v>0</v>
      </c>
      <c r="D1" s="38" t="s">
        <v>3</v>
      </c>
      <c r="E1" s="38" t="s">
        <v>4</v>
      </c>
      <c r="F1" s="61" t="s">
        <v>2</v>
      </c>
      <c r="G1" s="1" t="s">
        <v>1</v>
      </c>
      <c r="H1" t="s">
        <v>6</v>
      </c>
    </row>
    <row r="2" spans="1:8" x14ac:dyDescent="0.2">
      <c r="A2" s="12">
        <v>45425</v>
      </c>
      <c r="B2" s="3" t="s">
        <v>280</v>
      </c>
      <c r="C2" t="s">
        <v>281</v>
      </c>
      <c r="D2" s="60">
        <v>1</v>
      </c>
      <c r="E2" s="59" t="s">
        <v>331</v>
      </c>
      <c r="F2" s="6">
        <v>45373</v>
      </c>
      <c r="G2" s="1">
        <v>0.8</v>
      </c>
      <c r="H2" s="5"/>
    </row>
    <row r="3" spans="1:8" x14ac:dyDescent="0.2">
      <c r="A3" s="12">
        <v>45425</v>
      </c>
      <c r="B3" s="3" t="s">
        <v>280</v>
      </c>
      <c r="C3" t="s">
        <v>282</v>
      </c>
      <c r="D3" s="60">
        <v>0.02</v>
      </c>
      <c r="E3" s="59" t="s">
        <v>325</v>
      </c>
      <c r="F3" s="4" t="s">
        <v>7</v>
      </c>
      <c r="G3" s="4" t="s">
        <v>9</v>
      </c>
    </row>
    <row r="4" spans="1:8" x14ac:dyDescent="0.2">
      <c r="A4" s="12">
        <v>45425</v>
      </c>
      <c r="B4" s="3" t="s">
        <v>283</v>
      </c>
      <c r="C4" t="s">
        <v>284</v>
      </c>
      <c r="D4" s="60">
        <v>1</v>
      </c>
      <c r="E4" s="59" t="s">
        <v>208</v>
      </c>
      <c r="F4" s="6">
        <v>45354</v>
      </c>
      <c r="G4" s="1">
        <v>0.8</v>
      </c>
    </row>
    <row r="5" spans="1:8" x14ac:dyDescent="0.2">
      <c r="A5" s="12">
        <v>45425</v>
      </c>
      <c r="B5" s="3" t="s">
        <v>283</v>
      </c>
      <c r="C5" t="s">
        <v>285</v>
      </c>
      <c r="D5" s="60">
        <v>1</v>
      </c>
      <c r="E5" s="59" t="s">
        <v>139</v>
      </c>
      <c r="F5" s="6">
        <v>45380</v>
      </c>
      <c r="G5" s="1">
        <v>0.78</v>
      </c>
    </row>
    <row r="6" spans="1:8" x14ac:dyDescent="0.2">
      <c r="A6" s="12">
        <v>45425</v>
      </c>
      <c r="B6" s="3" t="s">
        <v>283</v>
      </c>
      <c r="C6" t="s">
        <v>333</v>
      </c>
      <c r="D6" s="60">
        <v>1</v>
      </c>
      <c r="E6" s="59" t="s">
        <v>342</v>
      </c>
      <c r="F6" s="6">
        <v>45382</v>
      </c>
      <c r="G6" s="1">
        <v>0.85</v>
      </c>
    </row>
    <row r="7" spans="1:8" x14ac:dyDescent="0.2">
      <c r="A7" s="12">
        <v>45425</v>
      </c>
      <c r="B7" s="3" t="s">
        <v>283</v>
      </c>
      <c r="C7" t="s">
        <v>286</v>
      </c>
      <c r="D7" s="60">
        <v>1</v>
      </c>
      <c r="E7" s="59" t="s">
        <v>238</v>
      </c>
      <c r="F7" s="6">
        <v>45352</v>
      </c>
      <c r="G7" s="1">
        <v>0.85</v>
      </c>
    </row>
    <row r="8" spans="1:8" x14ac:dyDescent="0.2">
      <c r="A8" s="12">
        <v>45425</v>
      </c>
      <c r="B8" s="3" t="s">
        <v>283</v>
      </c>
      <c r="C8" t="s">
        <v>353</v>
      </c>
      <c r="D8" s="60">
        <v>1</v>
      </c>
      <c r="E8" s="59" t="s">
        <v>356</v>
      </c>
      <c r="F8" s="6">
        <v>45397</v>
      </c>
      <c r="G8" s="1">
        <v>0.83</v>
      </c>
    </row>
    <row r="9" spans="1:8" x14ac:dyDescent="0.2">
      <c r="A9" s="12">
        <v>45425</v>
      </c>
      <c r="B9" s="3" t="s">
        <v>280</v>
      </c>
      <c r="C9" t="s">
        <v>287</v>
      </c>
      <c r="D9" s="60">
        <v>1</v>
      </c>
      <c r="E9" s="59" t="s">
        <v>335</v>
      </c>
      <c r="F9" s="6">
        <v>45383</v>
      </c>
      <c r="G9" s="1">
        <v>0.9</v>
      </c>
      <c r="H9" s="4"/>
    </row>
    <row r="10" spans="1:8" x14ac:dyDescent="0.2">
      <c r="A10" s="12">
        <v>45425</v>
      </c>
      <c r="B10" s="3" t="s">
        <v>283</v>
      </c>
      <c r="C10" t="s">
        <v>343</v>
      </c>
      <c r="D10" s="60">
        <v>1</v>
      </c>
      <c r="E10" s="59" t="s">
        <v>350</v>
      </c>
      <c r="F10" s="6">
        <v>45390</v>
      </c>
      <c r="G10" s="1">
        <v>0.8</v>
      </c>
    </row>
    <row r="11" spans="1:8" x14ac:dyDescent="0.2">
      <c r="A11" s="12">
        <v>45425</v>
      </c>
      <c r="B11" s="3" t="s">
        <v>280</v>
      </c>
      <c r="C11" t="s">
        <v>288</v>
      </c>
      <c r="D11" s="60">
        <v>1</v>
      </c>
      <c r="E11" s="59" t="s">
        <v>330</v>
      </c>
      <c r="F11" s="6">
        <v>45373</v>
      </c>
      <c r="G11" s="1">
        <v>0.8</v>
      </c>
    </row>
    <row r="12" spans="1:8" x14ac:dyDescent="0.2">
      <c r="A12" s="12">
        <v>45425</v>
      </c>
      <c r="B12" s="3" t="s">
        <v>283</v>
      </c>
      <c r="C12" t="s">
        <v>289</v>
      </c>
      <c r="D12" s="60">
        <v>1</v>
      </c>
      <c r="E12" s="59" t="s">
        <v>342</v>
      </c>
      <c r="F12" s="6">
        <v>45389</v>
      </c>
      <c r="G12" s="1">
        <v>0.83</v>
      </c>
    </row>
    <row r="13" spans="1:8" x14ac:dyDescent="0.2">
      <c r="A13" s="12">
        <v>45425</v>
      </c>
      <c r="B13" s="3" t="s">
        <v>283</v>
      </c>
      <c r="C13" t="s">
        <v>290</v>
      </c>
      <c r="D13" s="60">
        <v>1</v>
      </c>
      <c r="E13" s="59" t="s">
        <v>214</v>
      </c>
      <c r="F13" s="6">
        <v>45358</v>
      </c>
      <c r="G13" s="1">
        <v>0.78</v>
      </c>
      <c r="H13" s="4"/>
    </row>
    <row r="14" spans="1:8" x14ac:dyDescent="0.2">
      <c r="A14" s="12">
        <v>45425</v>
      </c>
      <c r="B14" s="3" t="s">
        <v>283</v>
      </c>
      <c r="C14" t="s">
        <v>291</v>
      </c>
      <c r="D14" s="60">
        <v>1</v>
      </c>
      <c r="E14" s="59" t="s">
        <v>184</v>
      </c>
      <c r="F14" s="6">
        <v>45389</v>
      </c>
      <c r="G14" s="1">
        <v>0.83</v>
      </c>
    </row>
    <row r="15" spans="1:8" x14ac:dyDescent="0.2">
      <c r="A15" s="12">
        <v>45425</v>
      </c>
      <c r="B15" s="3" t="s">
        <v>280</v>
      </c>
      <c r="C15" t="s">
        <v>292</v>
      </c>
      <c r="D15" s="60">
        <v>0.99</v>
      </c>
      <c r="E15" s="59" t="s">
        <v>359</v>
      </c>
      <c r="F15" s="4" t="s">
        <v>7</v>
      </c>
      <c r="G15" s="4" t="s">
        <v>9</v>
      </c>
    </row>
    <row r="16" spans="1:8" x14ac:dyDescent="0.2">
      <c r="A16" s="12">
        <v>45425</v>
      </c>
      <c r="B16" s="3" t="s">
        <v>283</v>
      </c>
      <c r="C16" t="s">
        <v>293</v>
      </c>
      <c r="D16" s="60">
        <v>1</v>
      </c>
      <c r="E16" s="59" t="s">
        <v>314</v>
      </c>
      <c r="F16" s="6">
        <v>45382</v>
      </c>
      <c r="G16" s="1">
        <v>0.85</v>
      </c>
    </row>
    <row r="17" spans="1:7" x14ac:dyDescent="0.2">
      <c r="A17" s="12">
        <v>45425</v>
      </c>
      <c r="B17" s="3" t="s">
        <v>283</v>
      </c>
      <c r="C17" t="s">
        <v>294</v>
      </c>
      <c r="D17" s="60">
        <v>0.13</v>
      </c>
      <c r="E17" s="59" t="s">
        <v>107</v>
      </c>
      <c r="F17" s="4" t="s">
        <v>7</v>
      </c>
      <c r="G17" s="4" t="s">
        <v>9</v>
      </c>
    </row>
    <row r="18" spans="1:7" x14ac:dyDescent="0.2">
      <c r="A18" s="12">
        <v>45425</v>
      </c>
      <c r="B18" s="3" t="s">
        <v>280</v>
      </c>
      <c r="C18" t="s">
        <v>295</v>
      </c>
      <c r="D18" s="60">
        <v>1</v>
      </c>
      <c r="E18" s="59" t="s">
        <v>342</v>
      </c>
      <c r="F18" s="6">
        <v>45378</v>
      </c>
      <c r="G18" s="1">
        <v>0.75</v>
      </c>
    </row>
    <row r="19" spans="1:7" x14ac:dyDescent="0.2">
      <c r="A19" s="12">
        <v>45425</v>
      </c>
      <c r="B19" s="3" t="s">
        <v>283</v>
      </c>
      <c r="C19" t="s">
        <v>296</v>
      </c>
      <c r="D19" s="60">
        <v>1</v>
      </c>
      <c r="E19" s="59" t="s">
        <v>143</v>
      </c>
      <c r="F19" s="6">
        <v>45391</v>
      </c>
      <c r="G19" s="1">
        <v>0.78</v>
      </c>
    </row>
    <row r="20" spans="1:7" x14ac:dyDescent="0.2">
      <c r="A20" s="12">
        <v>45425</v>
      </c>
      <c r="B20" s="3" t="s">
        <v>283</v>
      </c>
      <c r="C20" t="s">
        <v>297</v>
      </c>
      <c r="D20" s="60">
        <v>1</v>
      </c>
      <c r="E20" s="59" t="s">
        <v>77</v>
      </c>
      <c r="F20" s="6">
        <v>45396</v>
      </c>
      <c r="G20" s="1">
        <v>0.83</v>
      </c>
    </row>
    <row r="21" spans="1:7" x14ac:dyDescent="0.2">
      <c r="A21" s="12">
        <v>45425</v>
      </c>
      <c r="B21" s="3" t="s">
        <v>280</v>
      </c>
      <c r="C21" t="s">
        <v>298</v>
      </c>
      <c r="D21" s="60">
        <v>0.02</v>
      </c>
      <c r="E21" s="59" t="s">
        <v>326</v>
      </c>
      <c r="F21" s="4" t="s">
        <v>7</v>
      </c>
      <c r="G21" s="4" t="s">
        <v>9</v>
      </c>
    </row>
    <row r="22" spans="1:7" x14ac:dyDescent="0.2">
      <c r="A22" s="12">
        <v>45425</v>
      </c>
      <c r="B22" s="3" t="s">
        <v>280</v>
      </c>
      <c r="C22" t="s">
        <v>300</v>
      </c>
      <c r="D22" s="60">
        <v>0.14000000000000001</v>
      </c>
      <c r="E22" s="59" t="s">
        <v>184</v>
      </c>
      <c r="F22" s="4" t="s">
        <v>7</v>
      </c>
      <c r="G22" s="4" t="s">
        <v>9</v>
      </c>
    </row>
    <row r="23" spans="1:7" x14ac:dyDescent="0.2">
      <c r="A23" s="12">
        <v>45425</v>
      </c>
      <c r="B23" s="3" t="s">
        <v>283</v>
      </c>
      <c r="C23" t="s">
        <v>301</v>
      </c>
      <c r="D23" s="60">
        <v>1</v>
      </c>
      <c r="E23" s="59" t="s">
        <v>345</v>
      </c>
      <c r="F23" s="6">
        <v>45380</v>
      </c>
      <c r="G23" s="1">
        <v>0.78</v>
      </c>
    </row>
    <row r="24" spans="1:7" x14ac:dyDescent="0.2">
      <c r="A24" s="12">
        <v>45425</v>
      </c>
      <c r="B24" s="3" t="s">
        <v>283</v>
      </c>
      <c r="C24" t="s">
        <v>302</v>
      </c>
      <c r="D24" s="60">
        <v>1</v>
      </c>
      <c r="E24" s="59" t="s">
        <v>207</v>
      </c>
      <c r="F24" s="6">
        <v>45348</v>
      </c>
      <c r="G24" s="1">
        <v>0.95</v>
      </c>
    </row>
    <row r="25" spans="1:7" x14ac:dyDescent="0.2">
      <c r="A25" s="12">
        <v>45425</v>
      </c>
      <c r="B25" s="3" t="s">
        <v>280</v>
      </c>
      <c r="C25" t="s">
        <v>339</v>
      </c>
      <c r="D25" s="60">
        <v>0</v>
      </c>
      <c r="E25" s="59" t="s">
        <v>8</v>
      </c>
      <c r="F25" s="4" t="s">
        <v>7</v>
      </c>
      <c r="G25" s="4" t="s">
        <v>9</v>
      </c>
    </row>
    <row r="26" spans="1:7" x14ac:dyDescent="0.2">
      <c r="A26" s="12">
        <v>45425</v>
      </c>
      <c r="B26" s="3" t="s">
        <v>283</v>
      </c>
      <c r="C26" t="s">
        <v>303</v>
      </c>
      <c r="D26" s="60">
        <v>1</v>
      </c>
      <c r="E26" s="59" t="s">
        <v>185</v>
      </c>
      <c r="F26" s="6">
        <v>45383</v>
      </c>
      <c r="G26" s="1">
        <v>0.75</v>
      </c>
    </row>
    <row r="27" spans="1:7" x14ac:dyDescent="0.2">
      <c r="A27" s="12">
        <v>45425</v>
      </c>
      <c r="B27" s="3" t="s">
        <v>280</v>
      </c>
      <c r="C27" t="s">
        <v>304</v>
      </c>
      <c r="D27" s="60">
        <v>0.22</v>
      </c>
      <c r="E27" s="59" t="s">
        <v>328</v>
      </c>
      <c r="F27" s="4" t="s">
        <v>7</v>
      </c>
      <c r="G27" s="4" t="s">
        <v>9</v>
      </c>
    </row>
    <row r="28" spans="1:7" x14ac:dyDescent="0.2">
      <c r="A28" s="12">
        <v>45425</v>
      </c>
      <c r="B28" s="3" t="s">
        <v>283</v>
      </c>
      <c r="C28" t="s">
        <v>305</v>
      </c>
      <c r="D28" s="60">
        <v>1</v>
      </c>
      <c r="E28" s="59" t="s">
        <v>346</v>
      </c>
      <c r="F28" s="6">
        <v>45377</v>
      </c>
      <c r="G28" s="1">
        <v>0.83</v>
      </c>
    </row>
    <row r="29" spans="1:7" x14ac:dyDescent="0.2">
      <c r="A29" s="12">
        <v>45425</v>
      </c>
      <c r="B29" s="3" t="s">
        <v>280</v>
      </c>
      <c r="C29" t="s">
        <v>306</v>
      </c>
      <c r="D29" s="60">
        <v>1</v>
      </c>
      <c r="E29" s="59" t="s">
        <v>252</v>
      </c>
      <c r="F29" s="6">
        <v>45392</v>
      </c>
      <c r="G29" s="1">
        <v>0.78</v>
      </c>
    </row>
    <row r="30" spans="1:7" x14ac:dyDescent="0.2">
      <c r="A30" s="12">
        <v>45425</v>
      </c>
      <c r="B30" s="3" t="s">
        <v>280</v>
      </c>
      <c r="C30" t="s">
        <v>347</v>
      </c>
      <c r="D30" s="60">
        <v>0.05</v>
      </c>
      <c r="E30" s="59" t="s">
        <v>96</v>
      </c>
      <c r="F30" s="4" t="s">
        <v>7</v>
      </c>
      <c r="G30" s="4" t="s">
        <v>9</v>
      </c>
    </row>
    <row r="31" spans="1:7" x14ac:dyDescent="0.2">
      <c r="A31" s="12">
        <v>45425</v>
      </c>
      <c r="B31" s="3" t="s">
        <v>283</v>
      </c>
      <c r="C31" t="s">
        <v>307</v>
      </c>
      <c r="D31" s="60">
        <v>1</v>
      </c>
      <c r="E31" s="59" t="s">
        <v>243</v>
      </c>
      <c r="F31" s="6">
        <v>45345</v>
      </c>
      <c r="G31" s="1">
        <v>0.98</v>
      </c>
    </row>
    <row r="32" spans="1:7" x14ac:dyDescent="0.2">
      <c r="A32" s="12">
        <v>45425</v>
      </c>
      <c r="B32" s="3" t="s">
        <v>283</v>
      </c>
      <c r="C32" t="s">
        <v>348</v>
      </c>
      <c r="D32" s="60">
        <v>1</v>
      </c>
      <c r="E32" s="59" t="s">
        <v>205</v>
      </c>
      <c r="F32" s="6">
        <v>45378</v>
      </c>
      <c r="G32" s="1">
        <v>0.73</v>
      </c>
    </row>
    <row r="33" spans="1:7" x14ac:dyDescent="0.2">
      <c r="A33" s="12">
        <v>45425</v>
      </c>
      <c r="B33" s="3" t="s">
        <v>280</v>
      </c>
      <c r="C33" t="s">
        <v>308</v>
      </c>
      <c r="D33" s="60">
        <v>0.99</v>
      </c>
      <c r="E33" s="59" t="s">
        <v>355</v>
      </c>
      <c r="F33" s="4" t="s">
        <v>7</v>
      </c>
      <c r="G33" s="4" t="s">
        <v>9</v>
      </c>
    </row>
    <row r="34" spans="1:7" x14ac:dyDescent="0.2">
      <c r="A34" s="12">
        <v>45425</v>
      </c>
      <c r="B34" s="3" t="s">
        <v>283</v>
      </c>
      <c r="C34" t="s">
        <v>309</v>
      </c>
      <c r="D34" s="60">
        <v>1</v>
      </c>
      <c r="E34" s="59" t="s">
        <v>351</v>
      </c>
      <c r="F34" s="6">
        <v>45384</v>
      </c>
      <c r="G34" s="1">
        <v>0.7</v>
      </c>
    </row>
    <row r="35" spans="1:7" x14ac:dyDescent="0.2">
      <c r="A35" s="12">
        <v>45425</v>
      </c>
      <c r="B35" s="3" t="s">
        <v>280</v>
      </c>
      <c r="C35" t="s">
        <v>318</v>
      </c>
      <c r="D35" s="60">
        <v>0.39</v>
      </c>
      <c r="E35" s="59" t="s">
        <v>330</v>
      </c>
      <c r="F35" s="4" t="s">
        <v>7</v>
      </c>
      <c r="G35" s="4" t="s">
        <v>9</v>
      </c>
    </row>
    <row r="36" spans="1:7" x14ac:dyDescent="0.2">
      <c r="A36" s="12">
        <v>45425</v>
      </c>
      <c r="B36" s="3" t="s">
        <v>283</v>
      </c>
      <c r="C36" t="s">
        <v>357</v>
      </c>
      <c r="D36" s="60">
        <v>0.03</v>
      </c>
      <c r="E36" s="59" t="s">
        <v>70</v>
      </c>
      <c r="F36" s="4" t="s">
        <v>7</v>
      </c>
      <c r="G36" s="4" t="s">
        <v>9</v>
      </c>
    </row>
    <row r="37" spans="1:7" x14ac:dyDescent="0.2">
      <c r="A37" s="12">
        <v>45425</v>
      </c>
      <c r="B37" s="3" t="s">
        <v>283</v>
      </c>
      <c r="C37" t="s">
        <v>310</v>
      </c>
      <c r="D37" s="60">
        <v>1</v>
      </c>
      <c r="E37" s="59" t="s">
        <v>352</v>
      </c>
      <c r="F37" s="6">
        <v>45389</v>
      </c>
      <c r="G37" s="1">
        <v>0.85</v>
      </c>
    </row>
    <row r="38" spans="1:7" x14ac:dyDescent="0.2">
      <c r="A38" s="12">
        <v>45425</v>
      </c>
      <c r="B38" s="3" t="s">
        <v>280</v>
      </c>
      <c r="C38" t="s">
        <v>322</v>
      </c>
      <c r="D38" s="60">
        <v>1</v>
      </c>
      <c r="E38" s="59" t="s">
        <v>158</v>
      </c>
      <c r="F38" s="6">
        <v>45368</v>
      </c>
      <c r="G38" s="1">
        <v>0.85</v>
      </c>
    </row>
    <row r="39" spans="1:7" x14ac:dyDescent="0.2">
      <c r="A39" s="12">
        <v>45425</v>
      </c>
      <c r="B39" s="3" t="s">
        <v>283</v>
      </c>
      <c r="C39" t="s">
        <v>311</v>
      </c>
      <c r="D39" s="60">
        <v>1</v>
      </c>
      <c r="E39" s="59" t="s">
        <v>164</v>
      </c>
      <c r="F39" s="6">
        <v>45383</v>
      </c>
      <c r="G39" s="1">
        <v>0.78</v>
      </c>
    </row>
    <row r="40" spans="1:7" x14ac:dyDescent="0.2">
      <c r="A40" s="12">
        <v>45425</v>
      </c>
      <c r="B40" s="3" t="s">
        <v>283</v>
      </c>
      <c r="C40" t="s">
        <v>340</v>
      </c>
      <c r="D40" s="60">
        <v>1</v>
      </c>
      <c r="E40" s="59" t="s">
        <v>341</v>
      </c>
      <c r="F40" s="6">
        <v>45375</v>
      </c>
      <c r="G40" s="1">
        <v>0.9</v>
      </c>
    </row>
    <row r="41" spans="1:7" x14ac:dyDescent="0.2">
      <c r="A41" s="12">
        <v>45425</v>
      </c>
      <c r="B41" s="3" t="s">
        <v>280</v>
      </c>
      <c r="C41" t="s">
        <v>312</v>
      </c>
      <c r="D41" s="60">
        <v>0.99</v>
      </c>
      <c r="E41" s="59" t="s">
        <v>179</v>
      </c>
      <c r="F41" s="4" t="s">
        <v>7</v>
      </c>
      <c r="G41" s="4" t="s">
        <v>9</v>
      </c>
    </row>
    <row r="42" spans="1:7" x14ac:dyDescent="0.2">
      <c r="A42" s="12">
        <v>45425</v>
      </c>
      <c r="B42" s="3" t="s">
        <v>283</v>
      </c>
      <c r="C42" t="s">
        <v>323</v>
      </c>
      <c r="D42" s="60">
        <v>1</v>
      </c>
      <c r="E42" s="59" t="s">
        <v>187</v>
      </c>
      <c r="F42" s="6">
        <v>45384</v>
      </c>
      <c r="G42" s="1">
        <v>0.75</v>
      </c>
    </row>
    <row r="43" spans="1:7" x14ac:dyDescent="0.2">
      <c r="B43" s="3"/>
      <c r="F43" s="57"/>
    </row>
    <row r="44" spans="1:7" x14ac:dyDescent="0.2">
      <c r="B44" s="64"/>
      <c r="E44" s="58"/>
      <c r="F44" s="57"/>
    </row>
    <row r="45" spans="1:7" x14ac:dyDescent="0.2">
      <c r="B45" s="3"/>
      <c r="F45" s="57"/>
    </row>
    <row r="46" spans="1:7" x14ac:dyDescent="0.2">
      <c r="B46" s="3"/>
      <c r="E46" s="58"/>
      <c r="F46" s="57"/>
    </row>
    <row r="47" spans="1:7" x14ac:dyDescent="0.2">
      <c r="B47" s="3"/>
      <c r="E47" s="58"/>
      <c r="F47" s="57"/>
    </row>
    <row r="48" spans="1:7" x14ac:dyDescent="0.2">
      <c r="B48" s="3"/>
      <c r="E48" s="58"/>
      <c r="F48" s="57"/>
    </row>
    <row r="49" spans="2:6" x14ac:dyDescent="0.2">
      <c r="B49" s="3"/>
      <c r="E49" s="58"/>
      <c r="F49" s="57"/>
    </row>
    <row r="50" spans="2:6" x14ac:dyDescent="0.2">
      <c r="B50" s="3"/>
    </row>
    <row r="51" spans="2:6" x14ac:dyDescent="0.2">
      <c r="B51" s="3"/>
      <c r="E51" s="58"/>
      <c r="F51" s="57"/>
    </row>
    <row r="52" spans="2:6" x14ac:dyDescent="0.2">
      <c r="B52" s="3"/>
    </row>
    <row r="53" spans="2:6" x14ac:dyDescent="0.2">
      <c r="B53" s="3"/>
    </row>
    <row r="54" spans="2:6" x14ac:dyDescent="0.2">
      <c r="B54" s="3"/>
    </row>
    <row r="55" spans="2:6" x14ac:dyDescent="0.2">
      <c r="B55" s="3"/>
    </row>
    <row r="56" spans="2:6" x14ac:dyDescent="0.2">
      <c r="B56" s="3"/>
    </row>
    <row r="57" spans="2:6" x14ac:dyDescent="0.2">
      <c r="B57" s="3"/>
    </row>
    <row r="58" spans="2:6" x14ac:dyDescent="0.2">
      <c r="B58" s="3"/>
    </row>
    <row r="59" spans="2:6" x14ac:dyDescent="0.2">
      <c r="B59" s="3"/>
    </row>
    <row r="60" spans="2:6" x14ac:dyDescent="0.2">
      <c r="B60" s="3"/>
    </row>
    <row r="61" spans="2:6" x14ac:dyDescent="0.2">
      <c r="B61" s="3"/>
    </row>
    <row r="62" spans="2:6" x14ac:dyDescent="0.2">
      <c r="B62" s="3"/>
    </row>
    <row r="63" spans="2:6" x14ac:dyDescent="0.2">
      <c r="B63" s="3"/>
    </row>
    <row r="64" spans="2:6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</sheetData>
  <autoFilter ref="A1:H1" xr:uid="{289176DC-B46E-A543-9E16-27873EC5E604}">
    <sortState xmlns:xlrd2="http://schemas.microsoft.com/office/spreadsheetml/2017/richdata2" ref="A2:H42">
      <sortCondition ref="C1:C42"/>
    </sortState>
  </autoFilter>
  <conditionalFormatting sqref="C2:C29 C31:C32">
    <cfRule type="duplicateValues" dxfId="3" priority="4"/>
  </conditionalFormatting>
  <conditionalFormatting sqref="C35">
    <cfRule type="duplicateValues" dxfId="2" priority="3"/>
  </conditionalFormatting>
  <conditionalFormatting sqref="C36">
    <cfRule type="duplicateValues" dxfId="1" priority="2"/>
  </conditionalFormatting>
  <conditionalFormatting sqref="C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0275-4A36-E243-908B-9F805A91A4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L23_Output</vt:lpstr>
      <vt:lpstr>L23_Source</vt:lpstr>
      <vt:lpstr>L23_Voortgang</vt:lpstr>
      <vt:lpstr>20240513</vt:lpstr>
      <vt:lpstr>Voortgang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Jan-Ru Muller</cp:lastModifiedBy>
  <dcterms:created xsi:type="dcterms:W3CDTF">2023-01-20T10:51:14Z</dcterms:created>
  <dcterms:modified xsi:type="dcterms:W3CDTF">2024-08-07T14:14:11Z</dcterms:modified>
</cp:coreProperties>
</file>