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anarrs\Downloads\00-starter-sql-scripts\"/>
    </mc:Choice>
  </mc:AlternateContent>
  <xr:revisionPtr revIDLastSave="0" documentId="8_{BE3C1B10-7907-4A7C-A517-4BCD0F2C21BC}" xr6:coauthVersionLast="47" xr6:coauthVersionMax="47" xr10:uidLastSave="{00000000-0000-0000-0000-000000000000}"/>
  <bookViews>
    <workbookView xWindow="-110" yWindow="-110" windowWidth="19420" windowHeight="10300" firstSheet="10" activeTab="10" xr2:uid="{00000000-000D-0000-FFFF-FFFF00000000}"/>
  </bookViews>
  <sheets>
    <sheet name="Sheet1" sheetId="17" r:id="rId1"/>
    <sheet name="Nov-2021" sheetId="1" r:id="rId2"/>
    <sheet name="Dec-2021" sheetId="5" r:id="rId3"/>
    <sheet name="Jan-2022" sheetId="6" r:id="rId4"/>
    <sheet name="Feb-2022" sheetId="7" r:id="rId5"/>
    <sheet name="Mar-2022" sheetId="9" r:id="rId6"/>
    <sheet name="Apr-2022" sheetId="10" r:id="rId7"/>
    <sheet name="May-2022" sheetId="13" r:id="rId8"/>
    <sheet name="Jun-2022" sheetId="20" r:id="rId9"/>
    <sheet name="August-20222" sheetId="22" r:id="rId10"/>
    <sheet name="Info" sheetId="18" r:id="rId11"/>
    <sheet name="Advance Amount" sheetId="21" r:id="rId12"/>
    <sheet name="Sep-2022" sheetId="23" r:id="rId13"/>
    <sheet name="Oct-2022" sheetId="25" r:id="rId14"/>
    <sheet name="Nov-2022" sheetId="26" r:id="rId15"/>
    <sheet name="Dec-2022" sheetId="27" r:id="rId16"/>
    <sheet name="Jan-2023 " sheetId="28" r:id="rId17"/>
    <sheet name="Feb-2023" sheetId="29" r:id="rId18"/>
    <sheet name="Mar-2023" sheetId="30" r:id="rId19"/>
    <sheet name="Apr-2023" sheetId="31" r:id="rId20"/>
    <sheet name="May-2023" sheetId="3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3" l="1"/>
  <c r="J14" i="33" s="1"/>
  <c r="P15" i="33"/>
  <c r="J3" i="33"/>
  <c r="J4" i="33"/>
  <c r="J5" i="33"/>
  <c r="J6" i="33"/>
  <c r="J7" i="33"/>
  <c r="J9" i="33"/>
  <c r="J10" i="33"/>
  <c r="J11" i="33"/>
  <c r="J12" i="33"/>
  <c r="J13" i="33"/>
  <c r="J2" i="33"/>
  <c r="H2" i="33"/>
  <c r="H3" i="33"/>
  <c r="H5" i="33"/>
  <c r="H6" i="33"/>
  <c r="H7" i="33"/>
  <c r="H11" i="33"/>
  <c r="H12" i="33"/>
  <c r="H13" i="33"/>
  <c r="G3" i="33"/>
  <c r="G4" i="33"/>
  <c r="G5" i="33"/>
  <c r="G6" i="33"/>
  <c r="G7" i="33"/>
  <c r="G8" i="33"/>
  <c r="G9" i="33"/>
  <c r="G10" i="33"/>
  <c r="G11" i="33"/>
  <c r="G12" i="33"/>
  <c r="G13" i="33"/>
  <c r="G2" i="33"/>
  <c r="F16" i="21"/>
  <c r="O19" i="31"/>
  <c r="O21" i="31" s="1"/>
  <c r="P3" i="31" s="1"/>
  <c r="P4" i="31" s="1"/>
  <c r="J18" i="31"/>
  <c r="F13" i="31"/>
  <c r="M12" i="31"/>
  <c r="I12" i="31"/>
  <c r="I11" i="31"/>
  <c r="I10" i="31"/>
  <c r="D10" i="31"/>
  <c r="C10" i="31"/>
  <c r="I9" i="31"/>
  <c r="I8" i="31"/>
  <c r="D8" i="31"/>
  <c r="C8" i="31"/>
  <c r="I7" i="31"/>
  <c r="I6" i="31"/>
  <c r="C6" i="31"/>
  <c r="I5" i="31"/>
  <c r="Q4" i="31"/>
  <c r="G7" i="31" s="1"/>
  <c r="O4" i="31"/>
  <c r="E11" i="31" s="1"/>
  <c r="N4" i="31"/>
  <c r="D11" i="31" s="1"/>
  <c r="M4" i="31"/>
  <c r="C3" i="31" s="1"/>
  <c r="I4" i="31"/>
  <c r="I3" i="31"/>
  <c r="D3" i="31"/>
  <c r="L19" i="30"/>
  <c r="H12" i="30"/>
  <c r="K2" i="30"/>
  <c r="K3" i="30"/>
  <c r="K4" i="30"/>
  <c r="O4" i="30"/>
  <c r="D4" i="30" s="1"/>
  <c r="P4" i="30"/>
  <c r="E2" i="30" s="1"/>
  <c r="Q4" i="30"/>
  <c r="F4" i="30" s="1"/>
  <c r="S4" i="30"/>
  <c r="I2" i="30" s="1"/>
  <c r="I5" i="30"/>
  <c r="K5" i="30"/>
  <c r="K6" i="30"/>
  <c r="K7" i="30"/>
  <c r="K8" i="30"/>
  <c r="K9" i="30"/>
  <c r="K10" i="30"/>
  <c r="K11" i="30"/>
  <c r="O11" i="30"/>
  <c r="L17" i="30"/>
  <c r="Q17" i="30"/>
  <c r="Q19" i="30"/>
  <c r="R3" i="30" s="1"/>
  <c r="R4" i="30" s="1"/>
  <c r="G10" i="30" s="1"/>
  <c r="E10" i="31" l="1"/>
  <c r="E6" i="31"/>
  <c r="E3" i="31"/>
  <c r="G8" i="31"/>
  <c r="G6" i="31"/>
  <c r="H6" i="31"/>
  <c r="J6" i="31" s="1"/>
  <c r="G10" i="31"/>
  <c r="H10" i="31" s="1"/>
  <c r="J10" i="31" s="1"/>
  <c r="G3" i="31"/>
  <c r="H3" i="31" s="1"/>
  <c r="J3" i="31" s="1"/>
  <c r="H8" i="31"/>
  <c r="J8" i="31" s="1"/>
  <c r="I13" i="31"/>
  <c r="C12" i="31"/>
  <c r="D12" i="31"/>
  <c r="C7" i="31"/>
  <c r="G11" i="31"/>
  <c r="C2" i="31"/>
  <c r="D2" i="31"/>
  <c r="E2" i="31"/>
  <c r="E13" i="31" s="1"/>
  <c r="C4" i="31"/>
  <c r="C5" i="31"/>
  <c r="H5" i="31" s="1"/>
  <c r="J5" i="31" s="1"/>
  <c r="D7" i="31"/>
  <c r="C9" i="31"/>
  <c r="H9" i="31" s="1"/>
  <c r="J9" i="31" s="1"/>
  <c r="C11" i="31"/>
  <c r="G2" i="31"/>
  <c r="D4" i="31"/>
  <c r="D5" i="31"/>
  <c r="E7" i="31"/>
  <c r="D9" i="31"/>
  <c r="F9" i="30"/>
  <c r="E10" i="30"/>
  <c r="F8" i="30"/>
  <c r="D10" i="30"/>
  <c r="F7" i="30"/>
  <c r="G6" i="30"/>
  <c r="G5" i="30"/>
  <c r="G4" i="30"/>
  <c r="G2" i="30"/>
  <c r="G7" i="30"/>
  <c r="F10" i="30"/>
  <c r="J10" i="30" s="1"/>
  <c r="L10" i="30" s="1"/>
  <c r="G3" i="30"/>
  <c r="D8" i="30"/>
  <c r="E11" i="30"/>
  <c r="I7" i="30"/>
  <c r="I3" i="30"/>
  <c r="I4" i="30"/>
  <c r="D11" i="30"/>
  <c r="J11" i="30" s="1"/>
  <c r="L11" i="30" s="1"/>
  <c r="E3" i="30"/>
  <c r="I9" i="30"/>
  <c r="K12" i="30"/>
  <c r="I6" i="30"/>
  <c r="D3" i="30"/>
  <c r="I10" i="30"/>
  <c r="D2" i="30"/>
  <c r="E8" i="30"/>
  <c r="J8" i="30" s="1"/>
  <c r="L8" i="30" s="1"/>
  <c r="F6" i="30"/>
  <c r="E6" i="30"/>
  <c r="D6" i="30"/>
  <c r="F3" i="30"/>
  <c r="E9" i="30"/>
  <c r="D7" i="30"/>
  <c r="F5" i="30"/>
  <c r="E4" i="30"/>
  <c r="D9" i="30"/>
  <c r="D5" i="30"/>
  <c r="F2" i="30"/>
  <c r="E7" i="30"/>
  <c r="H4" i="31" l="1"/>
  <c r="J4" i="31" s="1"/>
  <c r="D13" i="31"/>
  <c r="J16" i="31" s="1"/>
  <c r="H7" i="31"/>
  <c r="J7" i="31" s="1"/>
  <c r="C13" i="31"/>
  <c r="J15" i="31" s="1"/>
  <c r="H2" i="31"/>
  <c r="G13" i="31"/>
  <c r="H11" i="31"/>
  <c r="J11" i="31" s="1"/>
  <c r="H12" i="31"/>
  <c r="J12" i="31" s="1"/>
  <c r="J7" i="30"/>
  <c r="L7" i="30" s="1"/>
  <c r="G12" i="30"/>
  <c r="J3" i="30"/>
  <c r="L3" i="30" s="1"/>
  <c r="I12" i="30"/>
  <c r="L18" i="30" s="1"/>
  <c r="J6" i="30"/>
  <c r="L6" i="30" s="1"/>
  <c r="J5" i="30"/>
  <c r="L5" i="30" s="1"/>
  <c r="J4" i="30"/>
  <c r="L4" i="30" s="1"/>
  <c r="D12" i="30"/>
  <c r="L14" i="30" s="1"/>
  <c r="F12" i="30"/>
  <c r="L16" i="30" s="1"/>
  <c r="J2" i="30"/>
  <c r="E12" i="30"/>
  <c r="L15" i="30" s="1"/>
  <c r="J9" i="30"/>
  <c r="L9" i="30" s="1"/>
  <c r="H13" i="31" l="1"/>
  <c r="J2" i="31"/>
  <c r="J13" i="31" s="1"/>
  <c r="J20" i="31" s="1"/>
  <c r="L2" i="30"/>
  <c r="L12" i="30" s="1"/>
  <c r="L20" i="30" s="1"/>
  <c r="J12" i="30"/>
  <c r="O19" i="29" l="1"/>
  <c r="O21" i="29" s="1"/>
  <c r="P3" i="29" s="1"/>
  <c r="P4" i="29" s="1"/>
  <c r="J18" i="29"/>
  <c r="F13" i="29"/>
  <c r="M12" i="29"/>
  <c r="I12" i="29"/>
  <c r="I11" i="29"/>
  <c r="I10" i="29"/>
  <c r="I9" i="29"/>
  <c r="I8" i="29"/>
  <c r="D8" i="29"/>
  <c r="I7" i="29"/>
  <c r="I6" i="29"/>
  <c r="I5" i="29"/>
  <c r="Q4" i="29"/>
  <c r="G7" i="29" s="1"/>
  <c r="O4" i="29"/>
  <c r="E11" i="29" s="1"/>
  <c r="N4" i="29"/>
  <c r="D2" i="29" s="1"/>
  <c r="M4" i="29"/>
  <c r="C7" i="29" s="1"/>
  <c r="I4" i="29"/>
  <c r="G4" i="29"/>
  <c r="I3" i="29"/>
  <c r="D17" i="21"/>
  <c r="I11" i="21" s="1"/>
  <c r="J2" i="28"/>
  <c r="J3" i="28"/>
  <c r="J4" i="28"/>
  <c r="J5" i="28"/>
  <c r="J6" i="28"/>
  <c r="J7" i="28"/>
  <c r="J8" i="28"/>
  <c r="J9" i="28"/>
  <c r="J10" i="28"/>
  <c r="J11" i="28"/>
  <c r="J12" i="28"/>
  <c r="F8" i="21"/>
  <c r="E17" i="21"/>
  <c r="O19" i="28"/>
  <c r="O21" i="28" s="1"/>
  <c r="P3" i="28" s="1"/>
  <c r="P4" i="28" s="1"/>
  <c r="M12" i="28"/>
  <c r="Q4" i="28"/>
  <c r="O4" i="28"/>
  <c r="E11" i="28" s="1"/>
  <c r="N4" i="28"/>
  <c r="D2" i="28" s="1"/>
  <c r="M4" i="28"/>
  <c r="C12" i="28" s="1"/>
  <c r="J18" i="28"/>
  <c r="F13" i="28"/>
  <c r="I12" i="28"/>
  <c r="G12" i="28"/>
  <c r="D12" i="28"/>
  <c r="I11" i="28"/>
  <c r="D11" i="28"/>
  <c r="C11" i="28"/>
  <c r="I10" i="28"/>
  <c r="G10" i="28"/>
  <c r="E10" i="28"/>
  <c r="D10" i="28"/>
  <c r="C10" i="28"/>
  <c r="I9" i="28"/>
  <c r="C9" i="28"/>
  <c r="I8" i="28"/>
  <c r="D8" i="28"/>
  <c r="C8" i="28"/>
  <c r="I7" i="28"/>
  <c r="G7" i="28"/>
  <c r="I6" i="28"/>
  <c r="G6" i="28"/>
  <c r="E6" i="28"/>
  <c r="H6" i="28" s="1"/>
  <c r="C6" i="28"/>
  <c r="I5" i="28"/>
  <c r="D5" i="28"/>
  <c r="C5" i="28"/>
  <c r="I4" i="28"/>
  <c r="D4" i="28"/>
  <c r="C4" i="28"/>
  <c r="I3" i="28"/>
  <c r="G3" i="28"/>
  <c r="D3" i="28"/>
  <c r="C3" i="28"/>
  <c r="E2" i="28"/>
  <c r="O19" i="27"/>
  <c r="O21" i="27" s="1"/>
  <c r="P3" i="27" s="1"/>
  <c r="P4" i="27" s="1"/>
  <c r="J18" i="27"/>
  <c r="M12" i="27"/>
  <c r="I12" i="27"/>
  <c r="I11" i="27"/>
  <c r="I10" i="27"/>
  <c r="I9" i="27"/>
  <c r="I8" i="27"/>
  <c r="C8" i="27"/>
  <c r="I7" i="27"/>
  <c r="I6" i="27"/>
  <c r="E6" i="27"/>
  <c r="I5" i="27"/>
  <c r="Q4" i="27"/>
  <c r="G8" i="27" s="1"/>
  <c r="O4" i="27"/>
  <c r="E10" i="27" s="1"/>
  <c r="N4" i="27"/>
  <c r="D10" i="27" s="1"/>
  <c r="M4" i="27"/>
  <c r="C7" i="27" s="1"/>
  <c r="I4" i="27"/>
  <c r="I3" i="27"/>
  <c r="C2" i="27"/>
  <c r="O19" i="26"/>
  <c r="O21" i="26" s="1"/>
  <c r="P3" i="26" s="1"/>
  <c r="P4" i="26" s="1"/>
  <c r="J18" i="26"/>
  <c r="M12" i="26"/>
  <c r="I12" i="26"/>
  <c r="I11" i="26"/>
  <c r="I10" i="26"/>
  <c r="I9" i="26"/>
  <c r="I8" i="26"/>
  <c r="I7" i="26"/>
  <c r="G7" i="26"/>
  <c r="C7" i="26"/>
  <c r="I6" i="26"/>
  <c r="I5" i="26"/>
  <c r="Q4" i="26"/>
  <c r="G9" i="26" s="1"/>
  <c r="O4" i="26"/>
  <c r="E2" i="26" s="1"/>
  <c r="N4" i="26"/>
  <c r="D11" i="26" s="1"/>
  <c r="M4" i="26"/>
  <c r="C8" i="26" s="1"/>
  <c r="I4" i="26"/>
  <c r="G4" i="26"/>
  <c r="I3" i="26"/>
  <c r="G3" i="26"/>
  <c r="G2" i="26"/>
  <c r="I13" i="25"/>
  <c r="I12" i="25"/>
  <c r="O20" i="25"/>
  <c r="O22" i="25" s="1"/>
  <c r="P3" i="25" s="1"/>
  <c r="P4" i="25" s="1"/>
  <c r="F9" i="25" s="1"/>
  <c r="M13" i="25"/>
  <c r="M12" i="25"/>
  <c r="J19" i="25"/>
  <c r="I11" i="25"/>
  <c r="I10" i="25"/>
  <c r="I9" i="25"/>
  <c r="I8" i="25"/>
  <c r="I7" i="25"/>
  <c r="I6" i="25"/>
  <c r="I5" i="25"/>
  <c r="Q4" i="25"/>
  <c r="G7" i="25" s="1"/>
  <c r="O4" i="25"/>
  <c r="E6" i="25" s="1"/>
  <c r="N4" i="25"/>
  <c r="D4" i="25" s="1"/>
  <c r="M4" i="25"/>
  <c r="C11" i="25" s="1"/>
  <c r="I4" i="25"/>
  <c r="I3" i="25"/>
  <c r="F2" i="23"/>
  <c r="J2" i="23"/>
  <c r="E9" i="21"/>
  <c r="D9" i="21"/>
  <c r="F12" i="21"/>
  <c r="F13" i="21"/>
  <c r="F14" i="21"/>
  <c r="F11" i="21"/>
  <c r="F3" i="21"/>
  <c r="F7" i="21"/>
  <c r="F4" i="21"/>
  <c r="F2" i="21"/>
  <c r="J11" i="23"/>
  <c r="S4" i="23"/>
  <c r="H6" i="23" s="1"/>
  <c r="D24" i="23"/>
  <c r="P18" i="23"/>
  <c r="P20" i="23" s="1"/>
  <c r="K18" i="23"/>
  <c r="Q4" i="23"/>
  <c r="F6" i="23" s="1"/>
  <c r="P4" i="23"/>
  <c r="E6" i="23" s="1"/>
  <c r="O4" i="23"/>
  <c r="D3" i="23" s="1"/>
  <c r="N4" i="23"/>
  <c r="C10" i="23" s="1"/>
  <c r="J10" i="23"/>
  <c r="J9" i="23"/>
  <c r="J8" i="23"/>
  <c r="J7" i="23"/>
  <c r="J6" i="23"/>
  <c r="J5" i="23"/>
  <c r="J4" i="23"/>
  <c r="J3" i="23"/>
  <c r="J8" i="22"/>
  <c r="J11" i="22"/>
  <c r="J14" i="22"/>
  <c r="H15" i="22"/>
  <c r="R28" i="22"/>
  <c r="R30" i="22" s="1"/>
  <c r="G2" i="22" s="1"/>
  <c r="N18" i="20"/>
  <c r="A19" i="20"/>
  <c r="D5" i="20"/>
  <c r="D6" i="20"/>
  <c r="D7" i="20"/>
  <c r="D8" i="20"/>
  <c r="D9" i="20"/>
  <c r="D10" i="20"/>
  <c r="D11" i="20"/>
  <c r="D12" i="20"/>
  <c r="D13" i="20"/>
  <c r="D14" i="20"/>
  <c r="D15" i="20"/>
  <c r="D16" i="20"/>
  <c r="R21" i="20"/>
  <c r="N27" i="20"/>
  <c r="Q9" i="22"/>
  <c r="Q10" i="22" s="1"/>
  <c r="R29" i="20"/>
  <c r="K12" i="20" s="1"/>
  <c r="R23" i="20"/>
  <c r="K6" i="20" s="1"/>
  <c r="R24" i="20"/>
  <c r="K7" i="20" s="1"/>
  <c r="R31" i="20"/>
  <c r="K14" i="20" s="1"/>
  <c r="R30" i="20"/>
  <c r="K13" i="20" s="1"/>
  <c r="D4" i="20"/>
  <c r="G6" i="20"/>
  <c r="G7" i="20"/>
  <c r="G8" i="20"/>
  <c r="G11" i="20"/>
  <c r="G12" i="20"/>
  <c r="G13" i="20"/>
  <c r="G14" i="20"/>
  <c r="G15" i="20"/>
  <c r="G16" i="20"/>
  <c r="F6" i="20"/>
  <c r="F7" i="20"/>
  <c r="F8" i="20"/>
  <c r="F11" i="20"/>
  <c r="F12" i="20"/>
  <c r="F13" i="20"/>
  <c r="F14" i="20"/>
  <c r="F15" i="20"/>
  <c r="F16" i="20"/>
  <c r="E6" i="20"/>
  <c r="E7" i="20"/>
  <c r="E8" i="20"/>
  <c r="E11" i="20"/>
  <c r="E12" i="20"/>
  <c r="E13" i="20"/>
  <c r="E14" i="20"/>
  <c r="E15" i="20"/>
  <c r="E16" i="20"/>
  <c r="C5" i="20"/>
  <c r="C6" i="20"/>
  <c r="C7" i="20"/>
  <c r="C8" i="20"/>
  <c r="C9" i="20"/>
  <c r="C10" i="20"/>
  <c r="C11" i="20"/>
  <c r="C12" i="20"/>
  <c r="C13" i="20"/>
  <c r="C14" i="20"/>
  <c r="C15" i="20"/>
  <c r="C16" i="20"/>
  <c r="R25" i="20"/>
  <c r="K8" i="20" s="1"/>
  <c r="R33" i="20"/>
  <c r="K16" i="20" s="1"/>
  <c r="R32" i="20"/>
  <c r="K15" i="20" s="1"/>
  <c r="R28" i="20"/>
  <c r="K11" i="20" s="1"/>
  <c r="R26" i="20"/>
  <c r="K9" i="20" s="1"/>
  <c r="R22" i="20"/>
  <c r="K5" i="20" s="1"/>
  <c r="M21" i="22"/>
  <c r="M20" i="22"/>
  <c r="M19" i="22"/>
  <c r="M18" i="22"/>
  <c r="A15" i="22"/>
  <c r="I19" i="20"/>
  <c r="M10" i="13"/>
  <c r="A14" i="13"/>
  <c r="I5" i="13"/>
  <c r="I4" i="13"/>
  <c r="I6" i="13"/>
  <c r="J2" i="13"/>
  <c r="L2" i="13" s="1"/>
  <c r="S26" i="13"/>
  <c r="K5" i="13"/>
  <c r="K14" i="13" s="1"/>
  <c r="K2" i="13" s="1"/>
  <c r="K6" i="13"/>
  <c r="K7" i="13"/>
  <c r="K8" i="13"/>
  <c r="K9" i="13"/>
  <c r="K10" i="13"/>
  <c r="K11" i="13"/>
  <c r="K12" i="13"/>
  <c r="N26" i="20"/>
  <c r="N25" i="20"/>
  <c r="N24" i="20"/>
  <c r="N23" i="20"/>
  <c r="N22" i="20"/>
  <c r="N23" i="10"/>
  <c r="N17" i="10"/>
  <c r="N18" i="10"/>
  <c r="N20" i="10"/>
  <c r="N19" i="10"/>
  <c r="N21" i="10"/>
  <c r="N22" i="13"/>
  <c r="N21" i="13"/>
  <c r="N20" i="13"/>
  <c r="N19" i="13"/>
  <c r="N18" i="13"/>
  <c r="N17" i="13"/>
  <c r="G14" i="13"/>
  <c r="F14" i="13"/>
  <c r="E14" i="13"/>
  <c r="D14" i="13"/>
  <c r="S22" i="13"/>
  <c r="S23" i="13"/>
  <c r="S20" i="13"/>
  <c r="S19" i="13"/>
  <c r="S24" i="13"/>
  <c r="S17" i="13"/>
  <c r="S27" i="13"/>
  <c r="K4" i="13"/>
  <c r="S16" i="13"/>
  <c r="G12" i="13"/>
  <c r="C4" i="13"/>
  <c r="D4" i="13"/>
  <c r="M12" i="10"/>
  <c r="N14" i="10" s="1"/>
  <c r="I12" i="13"/>
  <c r="F5" i="13"/>
  <c r="F6" i="13"/>
  <c r="F7" i="13"/>
  <c r="F10" i="13"/>
  <c r="F11" i="13"/>
  <c r="F12" i="13" s="1"/>
  <c r="F4" i="13"/>
  <c r="E11" i="13"/>
  <c r="E12" i="13" s="1"/>
  <c r="E10" i="13"/>
  <c r="E6" i="13"/>
  <c r="E7" i="13"/>
  <c r="K10" i="10"/>
  <c r="K9" i="10"/>
  <c r="K8" i="10"/>
  <c r="K7" i="10"/>
  <c r="K6" i="10"/>
  <c r="K5" i="10"/>
  <c r="K4" i="10"/>
  <c r="A12" i="10"/>
  <c r="Q19" i="10"/>
  <c r="Q18" i="10"/>
  <c r="I12" i="10"/>
  <c r="F5" i="10"/>
  <c r="F6" i="10"/>
  <c r="F7" i="10"/>
  <c r="F10" i="10"/>
  <c r="F4" i="10"/>
  <c r="G5" i="10"/>
  <c r="G6" i="10"/>
  <c r="G7" i="10"/>
  <c r="G10" i="10"/>
  <c r="G4" i="10"/>
  <c r="E4" i="10"/>
  <c r="C4" i="10"/>
  <c r="E5" i="10"/>
  <c r="E6" i="10"/>
  <c r="E7" i="10"/>
  <c r="E10" i="10"/>
  <c r="D10" i="10"/>
  <c r="C10" i="10"/>
  <c r="C4" i="9"/>
  <c r="L12" i="9"/>
  <c r="D9" i="9"/>
  <c r="D8" i="9"/>
  <c r="D5" i="9"/>
  <c r="D6" i="9"/>
  <c r="D7" i="9"/>
  <c r="D10" i="9"/>
  <c r="D11" i="9"/>
  <c r="D12" i="9"/>
  <c r="D4" i="9"/>
  <c r="C10" i="9"/>
  <c r="K2" i="9"/>
  <c r="K14" i="9"/>
  <c r="V11" i="9"/>
  <c r="H2" i="9" s="1"/>
  <c r="H11" i="9" s="1"/>
  <c r="C5" i="13"/>
  <c r="C6" i="13"/>
  <c r="C7" i="13"/>
  <c r="C8" i="13"/>
  <c r="C9" i="13"/>
  <c r="C10" i="13"/>
  <c r="C11" i="13"/>
  <c r="C12" i="13" s="1"/>
  <c r="D10" i="13"/>
  <c r="D11" i="13"/>
  <c r="D12" i="13" s="1"/>
  <c r="D5" i="13"/>
  <c r="D6" i="13"/>
  <c r="D7" i="13"/>
  <c r="D8" i="13"/>
  <c r="D9" i="13"/>
  <c r="E5" i="13"/>
  <c r="C8" i="10"/>
  <c r="D8" i="10"/>
  <c r="C9" i="10"/>
  <c r="D9" i="10"/>
  <c r="D5" i="10"/>
  <c r="D6" i="10"/>
  <c r="D7" i="10"/>
  <c r="D4" i="10"/>
  <c r="Q11" i="9"/>
  <c r="I14" i="9"/>
  <c r="F5" i="9"/>
  <c r="F8" i="9" s="1"/>
  <c r="F6" i="9"/>
  <c r="F9" i="9" s="1"/>
  <c r="F11" i="9"/>
  <c r="F12" i="9"/>
  <c r="F4" i="9"/>
  <c r="G4" i="9"/>
  <c r="E12" i="9"/>
  <c r="E11" i="9"/>
  <c r="G5" i="9"/>
  <c r="G8" i="9" s="1"/>
  <c r="G6" i="9"/>
  <c r="G9" i="9" s="1"/>
  <c r="G11" i="9"/>
  <c r="G12" i="9"/>
  <c r="A14" i="9"/>
  <c r="H2" i="7"/>
  <c r="E5" i="9"/>
  <c r="E8" i="9" s="1"/>
  <c r="E6" i="9"/>
  <c r="E9" i="9" s="1"/>
  <c r="C5" i="9"/>
  <c r="C11" i="9" s="1"/>
  <c r="C6" i="9"/>
  <c r="C9" i="9" s="1"/>
  <c r="C7" i="9"/>
  <c r="C6" i="29" l="1"/>
  <c r="G3" i="29"/>
  <c r="C10" i="29"/>
  <c r="D10" i="29"/>
  <c r="E10" i="29"/>
  <c r="C3" i="29"/>
  <c r="G11" i="29"/>
  <c r="D3" i="29"/>
  <c r="E6" i="29"/>
  <c r="E3" i="29"/>
  <c r="C8" i="29"/>
  <c r="H8" i="29" s="1"/>
  <c r="J8" i="29" s="1"/>
  <c r="G10" i="29"/>
  <c r="H10" i="29" s="1"/>
  <c r="J10" i="29" s="1"/>
  <c r="G6" i="29"/>
  <c r="G8" i="29"/>
  <c r="G12" i="29"/>
  <c r="I13" i="29"/>
  <c r="E2" i="29"/>
  <c r="C4" i="29"/>
  <c r="C5" i="29"/>
  <c r="D7" i="29"/>
  <c r="C9" i="29"/>
  <c r="C11" i="29"/>
  <c r="D12" i="29"/>
  <c r="C2" i="29"/>
  <c r="G2" i="29"/>
  <c r="D4" i="29"/>
  <c r="D5" i="29"/>
  <c r="E7" i="29"/>
  <c r="D9" i="29"/>
  <c r="D11" i="29"/>
  <c r="C12" i="29"/>
  <c r="E4" i="29"/>
  <c r="F17" i="21"/>
  <c r="G9" i="21"/>
  <c r="E3" i="28"/>
  <c r="E7" i="28"/>
  <c r="E4" i="28"/>
  <c r="H12" i="28"/>
  <c r="G4" i="28"/>
  <c r="G2" i="28"/>
  <c r="G8" i="28"/>
  <c r="H8" i="28" s="1"/>
  <c r="G11" i="28"/>
  <c r="H11" i="28" s="1"/>
  <c r="H10" i="28"/>
  <c r="H5" i="28"/>
  <c r="I13" i="28"/>
  <c r="H3" i="28"/>
  <c r="C7" i="28"/>
  <c r="D9" i="28"/>
  <c r="H9" i="28" s="1"/>
  <c r="C2" i="28"/>
  <c r="C13" i="28" s="1"/>
  <c r="J15" i="28" s="1"/>
  <c r="D7" i="28"/>
  <c r="D13" i="28" s="1"/>
  <c r="J16" i="28" s="1"/>
  <c r="H2" i="28"/>
  <c r="I13" i="27"/>
  <c r="G10" i="27"/>
  <c r="C12" i="27"/>
  <c r="E2" i="27"/>
  <c r="C4" i="27"/>
  <c r="H4" i="27" s="1"/>
  <c r="J4" i="27" s="1"/>
  <c r="C5" i="27"/>
  <c r="G4" i="27"/>
  <c r="G5" i="27"/>
  <c r="D7" i="27"/>
  <c r="C3" i="27"/>
  <c r="E7" i="27"/>
  <c r="D12" i="27"/>
  <c r="E12" i="27"/>
  <c r="D3" i="27"/>
  <c r="C9" i="27"/>
  <c r="E3" i="27"/>
  <c r="G7" i="27"/>
  <c r="D9" i="27"/>
  <c r="G12" i="27"/>
  <c r="G3" i="27"/>
  <c r="C6" i="27"/>
  <c r="C11" i="27"/>
  <c r="G9" i="27"/>
  <c r="D11" i="27"/>
  <c r="E11" i="27"/>
  <c r="D8" i="27"/>
  <c r="G11" i="27"/>
  <c r="D2" i="27"/>
  <c r="D13" i="27" s="1"/>
  <c r="J16" i="27" s="1"/>
  <c r="G6" i="27"/>
  <c r="C10" i="27"/>
  <c r="G2" i="27"/>
  <c r="D4" i="27"/>
  <c r="D5" i="27"/>
  <c r="E4" i="27"/>
  <c r="E5" i="27"/>
  <c r="G11" i="26"/>
  <c r="D8" i="26"/>
  <c r="D2" i="26"/>
  <c r="D7" i="26"/>
  <c r="E11" i="26"/>
  <c r="C12" i="26"/>
  <c r="E8" i="26"/>
  <c r="D12" i="26"/>
  <c r="C3" i="26"/>
  <c r="D3" i="26"/>
  <c r="C5" i="26"/>
  <c r="G8" i="26"/>
  <c r="G12" i="26"/>
  <c r="D5" i="26"/>
  <c r="E5" i="26"/>
  <c r="C4" i="26"/>
  <c r="G5" i="26"/>
  <c r="C10" i="26"/>
  <c r="D4" i="26"/>
  <c r="D10" i="26"/>
  <c r="I13" i="26"/>
  <c r="E4" i="26"/>
  <c r="G10" i="26"/>
  <c r="H8" i="26"/>
  <c r="J8" i="26" s="1"/>
  <c r="F2" i="26"/>
  <c r="F6" i="26"/>
  <c r="F7" i="26"/>
  <c r="F11" i="26"/>
  <c r="E3" i="26"/>
  <c r="E7" i="26"/>
  <c r="H7" i="26" s="1"/>
  <c r="J7" i="26" s="1"/>
  <c r="E10" i="26"/>
  <c r="H10" i="26" s="1"/>
  <c r="J10" i="26" s="1"/>
  <c r="C9" i="26"/>
  <c r="C2" i="26"/>
  <c r="C6" i="26"/>
  <c r="D9" i="26"/>
  <c r="E12" i="26"/>
  <c r="E6" i="26"/>
  <c r="E9" i="26"/>
  <c r="C11" i="26"/>
  <c r="G6" i="26"/>
  <c r="I14" i="25"/>
  <c r="E13" i="25"/>
  <c r="E12" i="25"/>
  <c r="E9" i="25"/>
  <c r="D13" i="25"/>
  <c r="D12" i="25"/>
  <c r="E11" i="25"/>
  <c r="E10" i="25"/>
  <c r="G10" i="25"/>
  <c r="G11" i="25"/>
  <c r="G12" i="25"/>
  <c r="F12" i="25"/>
  <c r="F11" i="25"/>
  <c r="C13" i="25"/>
  <c r="C12" i="25"/>
  <c r="E4" i="25"/>
  <c r="D9" i="25"/>
  <c r="C9" i="25"/>
  <c r="C2" i="25"/>
  <c r="D2" i="25"/>
  <c r="E2" i="25"/>
  <c r="C7" i="25"/>
  <c r="D7" i="25"/>
  <c r="D8" i="25"/>
  <c r="E3" i="25"/>
  <c r="D5" i="25"/>
  <c r="E8" i="25"/>
  <c r="C10" i="25"/>
  <c r="E7" i="25"/>
  <c r="C5" i="25"/>
  <c r="E5" i="25"/>
  <c r="D10" i="25"/>
  <c r="D11" i="25"/>
  <c r="C3" i="25"/>
  <c r="C8" i="25"/>
  <c r="D3" i="25"/>
  <c r="F2" i="25"/>
  <c r="F5" i="25"/>
  <c r="F3" i="25"/>
  <c r="F7" i="25"/>
  <c r="F8" i="25"/>
  <c r="F6" i="25"/>
  <c r="G6" i="25"/>
  <c r="G2" i="25"/>
  <c r="G5" i="25"/>
  <c r="G8" i="25"/>
  <c r="C4" i="25"/>
  <c r="C6" i="25"/>
  <c r="G9" i="25"/>
  <c r="G4" i="25"/>
  <c r="H4" i="25" s="1"/>
  <c r="G3" i="25"/>
  <c r="H2" i="23"/>
  <c r="E2" i="23"/>
  <c r="D2" i="23"/>
  <c r="C2" i="23"/>
  <c r="H11" i="23"/>
  <c r="F9" i="21"/>
  <c r="H5" i="23"/>
  <c r="H4" i="23"/>
  <c r="H7" i="23"/>
  <c r="H8" i="23"/>
  <c r="H9" i="23"/>
  <c r="H3" i="23"/>
  <c r="D5" i="23"/>
  <c r="F4" i="23"/>
  <c r="E5" i="23"/>
  <c r="E4" i="23"/>
  <c r="D7" i="23"/>
  <c r="D10" i="23"/>
  <c r="D9" i="23"/>
  <c r="F8" i="23"/>
  <c r="E8" i="23"/>
  <c r="D11" i="23"/>
  <c r="D8" i="23"/>
  <c r="F5" i="23"/>
  <c r="F7" i="23"/>
  <c r="D4" i="23"/>
  <c r="E7" i="23"/>
  <c r="F3" i="23"/>
  <c r="E3" i="23"/>
  <c r="R3" i="23"/>
  <c r="R4" i="23" s="1"/>
  <c r="C9" i="23"/>
  <c r="C6" i="23"/>
  <c r="C8" i="23"/>
  <c r="C7" i="23"/>
  <c r="C5" i="23"/>
  <c r="C4" i="23"/>
  <c r="C3" i="23"/>
  <c r="C11" i="23"/>
  <c r="J12" i="23"/>
  <c r="C15" i="22"/>
  <c r="I2" i="22"/>
  <c r="K2" i="22" s="1"/>
  <c r="I13" i="22"/>
  <c r="K13" i="22" s="1"/>
  <c r="L13" i="22" s="1"/>
  <c r="I8" i="22"/>
  <c r="I12" i="22"/>
  <c r="I6" i="22"/>
  <c r="I7" i="22"/>
  <c r="I14" i="22"/>
  <c r="K14" i="22" s="1"/>
  <c r="L14" i="22" s="1"/>
  <c r="I5" i="22"/>
  <c r="I11" i="22"/>
  <c r="I10" i="22"/>
  <c r="I9" i="22"/>
  <c r="J15" i="22"/>
  <c r="R36" i="20"/>
  <c r="R38" i="20" s="1"/>
  <c r="H2" i="20" s="1"/>
  <c r="K4" i="20"/>
  <c r="K19" i="20" s="1"/>
  <c r="K2" i="20" s="1"/>
  <c r="I14" i="13"/>
  <c r="K12" i="10"/>
  <c r="K2" i="10" s="1"/>
  <c r="S28" i="13"/>
  <c r="H2" i="13" s="1"/>
  <c r="C14" i="13"/>
  <c r="J4" i="13"/>
  <c r="L4" i="13" s="1"/>
  <c r="Q20" i="10"/>
  <c r="H2" i="10" s="1"/>
  <c r="H6" i="10" s="1"/>
  <c r="E12" i="10"/>
  <c r="G12" i="10"/>
  <c r="D12" i="10"/>
  <c r="F12" i="10"/>
  <c r="J8" i="10"/>
  <c r="L8" i="10" s="1"/>
  <c r="J11" i="9"/>
  <c r="L11" i="9" s="1"/>
  <c r="G14" i="9"/>
  <c r="F14" i="9"/>
  <c r="C8" i="9"/>
  <c r="C12" i="9"/>
  <c r="J8" i="13"/>
  <c r="L8" i="13" s="1"/>
  <c r="M8" i="13" s="1"/>
  <c r="J9" i="13"/>
  <c r="L9" i="13" s="1"/>
  <c r="M9" i="13" s="1"/>
  <c r="J9" i="10"/>
  <c r="L9" i="10" s="1"/>
  <c r="H4" i="9"/>
  <c r="H12" i="9"/>
  <c r="H6" i="9"/>
  <c r="H9" i="9" s="1"/>
  <c r="H5" i="9"/>
  <c r="H8" i="9" s="1"/>
  <c r="H9" i="7"/>
  <c r="F12" i="7"/>
  <c r="F5" i="7"/>
  <c r="F6" i="7"/>
  <c r="F9" i="7"/>
  <c r="F10" i="7"/>
  <c r="F11" i="7"/>
  <c r="F4" i="7"/>
  <c r="G12" i="7"/>
  <c r="G5" i="7"/>
  <c r="G6" i="7"/>
  <c r="G9" i="7"/>
  <c r="G10" i="7"/>
  <c r="G11" i="7"/>
  <c r="G4" i="7"/>
  <c r="E12" i="7"/>
  <c r="D12" i="7"/>
  <c r="A14" i="7"/>
  <c r="H3" i="29" l="1"/>
  <c r="J3" i="29" s="1"/>
  <c r="H6" i="29"/>
  <c r="J6" i="29" s="1"/>
  <c r="H7" i="29"/>
  <c r="J7" i="29" s="1"/>
  <c r="D13" i="29"/>
  <c r="J16" i="29" s="1"/>
  <c r="G13" i="29"/>
  <c r="H11" i="29"/>
  <c r="J11" i="29" s="1"/>
  <c r="H9" i="29"/>
  <c r="J9" i="29" s="1"/>
  <c r="H12" i="29"/>
  <c r="J12" i="29" s="1"/>
  <c r="H4" i="29"/>
  <c r="J4" i="29" s="1"/>
  <c r="C13" i="29"/>
  <c r="J15" i="29" s="1"/>
  <c r="H2" i="29"/>
  <c r="H5" i="29"/>
  <c r="J5" i="29" s="1"/>
  <c r="E13" i="29"/>
  <c r="E13" i="28"/>
  <c r="J17" i="28" s="1"/>
  <c r="H4" i="28"/>
  <c r="G13" i="28"/>
  <c r="H7" i="28"/>
  <c r="H5" i="27"/>
  <c r="J5" i="27" s="1"/>
  <c r="H7" i="27"/>
  <c r="J7" i="27" s="1"/>
  <c r="H8" i="27"/>
  <c r="J8" i="27" s="1"/>
  <c r="E13" i="27"/>
  <c r="J17" i="27" s="1"/>
  <c r="H9" i="27"/>
  <c r="J9" i="27" s="1"/>
  <c r="H12" i="27"/>
  <c r="J12" i="27" s="1"/>
  <c r="F13" i="27"/>
  <c r="H3" i="27"/>
  <c r="J3" i="27" s="1"/>
  <c r="H11" i="27"/>
  <c r="J11" i="27" s="1"/>
  <c r="G13" i="27"/>
  <c r="J19" i="27" s="1"/>
  <c r="H10" i="27"/>
  <c r="J10" i="27" s="1"/>
  <c r="H6" i="27"/>
  <c r="J6" i="27" s="1"/>
  <c r="H2" i="27"/>
  <c r="C13" i="27"/>
  <c r="J15" i="27" s="1"/>
  <c r="H4" i="26"/>
  <c r="J4" i="26" s="1"/>
  <c r="D13" i="26"/>
  <c r="J16" i="26" s="1"/>
  <c r="G13" i="26"/>
  <c r="J19" i="26" s="1"/>
  <c r="E13" i="26"/>
  <c r="J17" i="26" s="1"/>
  <c r="H5" i="26"/>
  <c r="J5" i="26" s="1"/>
  <c r="H12" i="26"/>
  <c r="J12" i="26" s="1"/>
  <c r="H11" i="26"/>
  <c r="J11" i="26" s="1"/>
  <c r="H3" i="26"/>
  <c r="J3" i="26" s="1"/>
  <c r="H9" i="26"/>
  <c r="J9" i="26" s="1"/>
  <c r="F13" i="26"/>
  <c r="H6" i="26"/>
  <c r="J6" i="26" s="1"/>
  <c r="C13" i="26"/>
  <c r="J15" i="26" s="1"/>
  <c r="H2" i="26"/>
  <c r="H13" i="25"/>
  <c r="J13" i="25" s="1"/>
  <c r="H12" i="25"/>
  <c r="J12" i="25" s="1"/>
  <c r="D14" i="25"/>
  <c r="J17" i="25" s="1"/>
  <c r="C14" i="25"/>
  <c r="F14" i="25"/>
  <c r="G14" i="25"/>
  <c r="J20" i="25" s="1"/>
  <c r="E14" i="25"/>
  <c r="J18" i="25" s="1"/>
  <c r="H9" i="25"/>
  <c r="J9" i="25" s="1"/>
  <c r="H6" i="25"/>
  <c r="J6" i="25" s="1"/>
  <c r="H10" i="25"/>
  <c r="J10" i="25" s="1"/>
  <c r="H11" i="25"/>
  <c r="J11" i="25" s="1"/>
  <c r="H3" i="25"/>
  <c r="J3" i="25" s="1"/>
  <c r="H5" i="25"/>
  <c r="J5" i="25" s="1"/>
  <c r="H8" i="25"/>
  <c r="J8" i="25" s="1"/>
  <c r="H7" i="25"/>
  <c r="J7" i="25" s="1"/>
  <c r="H2" i="25"/>
  <c r="J4" i="25"/>
  <c r="G3" i="23"/>
  <c r="G2" i="23"/>
  <c r="I2" i="23"/>
  <c r="K2" i="23" s="1"/>
  <c r="H12" i="23"/>
  <c r="K19" i="23" s="1"/>
  <c r="I10" i="23"/>
  <c r="K10" i="23" s="1"/>
  <c r="G4" i="23"/>
  <c r="I4" i="23" s="1"/>
  <c r="K4" i="23" s="1"/>
  <c r="G8" i="23"/>
  <c r="I8" i="23" s="1"/>
  <c r="K8" i="23" s="1"/>
  <c r="I9" i="23"/>
  <c r="K9" i="23" s="1"/>
  <c r="D12" i="23"/>
  <c r="K15" i="23" s="1"/>
  <c r="G7" i="23"/>
  <c r="I7" i="23" s="1"/>
  <c r="K7" i="23" s="1"/>
  <c r="I11" i="23"/>
  <c r="K11" i="23" s="1"/>
  <c r="E12" i="23"/>
  <c r="K16" i="23" s="1"/>
  <c r="F12" i="23"/>
  <c r="K17" i="23" s="1"/>
  <c r="I3" i="23"/>
  <c r="K3" i="23" s="1"/>
  <c r="G5" i="23"/>
  <c r="I5" i="23" s="1"/>
  <c r="K5" i="23" s="1"/>
  <c r="C12" i="23"/>
  <c r="K14" i="23" s="1"/>
  <c r="G6" i="23"/>
  <c r="I6" i="23" s="1"/>
  <c r="K6" i="23" s="1"/>
  <c r="C4" i="20"/>
  <c r="G15" i="22"/>
  <c r="D15" i="22"/>
  <c r="E15" i="22"/>
  <c r="K10" i="22"/>
  <c r="L10" i="22" s="1"/>
  <c r="F15" i="22"/>
  <c r="E4" i="20"/>
  <c r="G4" i="20"/>
  <c r="F4" i="20"/>
  <c r="H10" i="13"/>
  <c r="J10" i="13" s="1"/>
  <c r="L10" i="13" s="1"/>
  <c r="H6" i="13"/>
  <c r="J6" i="13" s="1"/>
  <c r="H7" i="13"/>
  <c r="J7" i="13" s="1"/>
  <c r="L7" i="13" s="1"/>
  <c r="H5" i="13"/>
  <c r="H11" i="13"/>
  <c r="M4" i="13"/>
  <c r="H4" i="10"/>
  <c r="H7" i="10"/>
  <c r="H10" i="10"/>
  <c r="J10" i="10" s="1"/>
  <c r="L10" i="10" s="1"/>
  <c r="H5" i="10"/>
  <c r="J9" i="9"/>
  <c r="L9" i="9" s="1"/>
  <c r="D14" i="9"/>
  <c r="C14" i="9"/>
  <c r="J12" i="9"/>
  <c r="H4" i="7"/>
  <c r="H6" i="7"/>
  <c r="H5" i="7"/>
  <c r="H10" i="7"/>
  <c r="H11" i="7"/>
  <c r="H12" i="7" s="1"/>
  <c r="J12" i="7" s="1"/>
  <c r="L12" i="7" s="1"/>
  <c r="E4" i="9"/>
  <c r="E14" i="9" s="1"/>
  <c r="C7" i="10"/>
  <c r="C6" i="10"/>
  <c r="J6" i="10" s="1"/>
  <c r="L6" i="10" s="1"/>
  <c r="C5" i="10"/>
  <c r="J2" i="10"/>
  <c r="L2" i="10" s="1"/>
  <c r="E10" i="7"/>
  <c r="E11" i="7"/>
  <c r="E9" i="7"/>
  <c r="E5" i="7"/>
  <c r="E6" i="7"/>
  <c r="E4" i="7"/>
  <c r="J2" i="29" l="1"/>
  <c r="J13" i="29" s="1"/>
  <c r="J20" i="29" s="1"/>
  <c r="H13" i="29"/>
  <c r="J13" i="28"/>
  <c r="J20" i="28" s="1"/>
  <c r="H13" i="28"/>
  <c r="H13" i="27"/>
  <c r="J2" i="27"/>
  <c r="J13" i="27" s="1"/>
  <c r="J20" i="27" s="1"/>
  <c r="J2" i="26"/>
  <c r="J13" i="26" s="1"/>
  <c r="J20" i="26" s="1"/>
  <c r="H13" i="26"/>
  <c r="H14" i="25"/>
  <c r="J2" i="25"/>
  <c r="J14" i="25" s="1"/>
  <c r="J21" i="25" s="1"/>
  <c r="G12" i="23"/>
  <c r="I12" i="23"/>
  <c r="H6" i="20"/>
  <c r="J6" i="20" s="1"/>
  <c r="L6" i="20" s="1"/>
  <c r="M6" i="20" s="1"/>
  <c r="K6" i="22"/>
  <c r="L6" i="22" s="1"/>
  <c r="K11" i="22"/>
  <c r="L11" i="22" s="1"/>
  <c r="K12" i="22"/>
  <c r="L12" i="22" s="1"/>
  <c r="K8" i="22"/>
  <c r="L8" i="22" s="1"/>
  <c r="K7" i="22"/>
  <c r="L7" i="22" s="1"/>
  <c r="J2" i="20"/>
  <c r="L2" i="20" s="1"/>
  <c r="H4" i="20"/>
  <c r="J4" i="20" s="1"/>
  <c r="L4" i="20" s="1"/>
  <c r="H15" i="20"/>
  <c r="J15" i="20" s="1"/>
  <c r="L15" i="20" s="1"/>
  <c r="M15" i="20" s="1"/>
  <c r="H8" i="20"/>
  <c r="J8" i="20" s="1"/>
  <c r="H11" i="20"/>
  <c r="J11" i="20" s="1"/>
  <c r="L11" i="20" s="1"/>
  <c r="M11" i="20" s="1"/>
  <c r="H7" i="20"/>
  <c r="J7" i="20" s="1"/>
  <c r="L7" i="20" s="1"/>
  <c r="M7" i="20" s="1"/>
  <c r="H12" i="20"/>
  <c r="J12" i="20" s="1"/>
  <c r="L12" i="20" s="1"/>
  <c r="M12" i="20" s="1"/>
  <c r="H14" i="20"/>
  <c r="J14" i="20" s="1"/>
  <c r="L14" i="20" s="1"/>
  <c r="M14" i="20" s="1"/>
  <c r="H16" i="20"/>
  <c r="J16" i="20" s="1"/>
  <c r="L16" i="20" s="1"/>
  <c r="M16" i="20" s="1"/>
  <c r="H13" i="20"/>
  <c r="J13" i="20" s="1"/>
  <c r="L13" i="20" s="1"/>
  <c r="M13" i="20" s="1"/>
  <c r="C19" i="20"/>
  <c r="G19" i="20"/>
  <c r="J9" i="20"/>
  <c r="L9" i="20" s="1"/>
  <c r="M9" i="20" s="1"/>
  <c r="D19" i="20"/>
  <c r="K9" i="22"/>
  <c r="L9" i="22" s="1"/>
  <c r="J10" i="20"/>
  <c r="L10" i="20" s="1"/>
  <c r="M10" i="20" s="1"/>
  <c r="E19" i="20"/>
  <c r="F19" i="20"/>
  <c r="J5" i="20"/>
  <c r="L5" i="20" s="1"/>
  <c r="M5" i="20" s="1"/>
  <c r="L6" i="13"/>
  <c r="H12" i="13"/>
  <c r="H14" i="13" s="1"/>
  <c r="J11" i="13"/>
  <c r="J5" i="13"/>
  <c r="J14" i="13" s="1"/>
  <c r="C12" i="10"/>
  <c r="H12" i="10"/>
  <c r="J4" i="10"/>
  <c r="L4" i="10" s="1"/>
  <c r="J5" i="10"/>
  <c r="J7" i="10"/>
  <c r="L7" i="10" s="1"/>
  <c r="D5" i="7"/>
  <c r="D6" i="7"/>
  <c r="D7" i="7"/>
  <c r="D8" i="7"/>
  <c r="D9" i="7"/>
  <c r="D10" i="7"/>
  <c r="D11" i="7"/>
  <c r="C5" i="7"/>
  <c r="C6" i="7"/>
  <c r="C7" i="7"/>
  <c r="C8" i="7"/>
  <c r="C9" i="7"/>
  <c r="C10" i="7"/>
  <c r="C11" i="7"/>
  <c r="C4" i="7"/>
  <c r="K12" i="23" l="1"/>
  <c r="K20" i="23" s="1"/>
  <c r="K5" i="22"/>
  <c r="I15" i="22"/>
  <c r="H19" i="20"/>
  <c r="M4" i="20"/>
  <c r="L8" i="20"/>
  <c r="L19" i="20" s="1"/>
  <c r="J19" i="20"/>
  <c r="M6" i="13"/>
  <c r="L5" i="13"/>
  <c r="L14" i="13" s="1"/>
  <c r="J12" i="13"/>
  <c r="L12" i="13" s="1"/>
  <c r="M12" i="13" s="1"/>
  <c r="L11" i="13"/>
  <c r="M11" i="13" s="1"/>
  <c r="L5" i="10"/>
  <c r="L12" i="10" s="1"/>
  <c r="J12" i="10"/>
  <c r="J10" i="7"/>
  <c r="L10" i="7" s="1"/>
  <c r="K5" i="6"/>
  <c r="N12" i="6"/>
  <c r="J20" i="6"/>
  <c r="H13" i="6"/>
  <c r="H11" i="6"/>
  <c r="H6" i="6"/>
  <c r="H7" i="6"/>
  <c r="H8" i="6"/>
  <c r="H5" i="6"/>
  <c r="M18" i="6"/>
  <c r="K13" i="6"/>
  <c r="K2" i="6"/>
  <c r="L5" i="22" l="1"/>
  <c r="K15" i="22"/>
  <c r="M8" i="20"/>
  <c r="M19" i="20" s="1"/>
  <c r="L4" i="22"/>
  <c r="L15" i="22" s="1"/>
  <c r="M5" i="13"/>
  <c r="M14" i="13" s="1"/>
  <c r="N16" i="13" s="1"/>
  <c r="N26" i="13" s="1"/>
  <c r="I4" i="6"/>
  <c r="I5" i="6"/>
  <c r="I6" i="6"/>
  <c r="I7" i="6"/>
  <c r="M17" i="22" l="1"/>
  <c r="M28" i="22" s="1"/>
  <c r="N21" i="20"/>
  <c r="N36" i="20" s="1"/>
  <c r="K14" i="7"/>
  <c r="K2" i="7" s="1"/>
  <c r="F14" i="7"/>
  <c r="G14" i="7"/>
  <c r="I14" i="7"/>
  <c r="C4" i="5" l="1"/>
  <c r="J8" i="9"/>
  <c r="L8" i="9" s="1"/>
  <c r="J10" i="9"/>
  <c r="L10" i="9" s="1"/>
  <c r="J11" i="7" l="1"/>
  <c r="L11" i="7" s="1"/>
  <c r="J7" i="9"/>
  <c r="L7" i="9" s="1"/>
  <c r="H14" i="9"/>
  <c r="J2" i="9"/>
  <c r="D4" i="7"/>
  <c r="D14" i="7" l="1"/>
  <c r="J9" i="7"/>
  <c r="L9" i="7" s="1"/>
  <c r="J6" i="9"/>
  <c r="L6" i="9" s="1"/>
  <c r="J5" i="9"/>
  <c r="L5" i="9" s="1"/>
  <c r="J4" i="9"/>
  <c r="J8" i="7"/>
  <c r="L8" i="7" s="1"/>
  <c r="J6" i="7"/>
  <c r="L6" i="7" s="1"/>
  <c r="H14" i="7"/>
  <c r="E14" i="7"/>
  <c r="J2" i="7"/>
  <c r="L2" i="7" s="1"/>
  <c r="C9" i="6"/>
  <c r="H5" i="5"/>
  <c r="H6" i="5"/>
  <c r="H7" i="5"/>
  <c r="H8" i="5"/>
  <c r="H9" i="5"/>
  <c r="H10" i="5"/>
  <c r="C8" i="5"/>
  <c r="E8" i="5"/>
  <c r="F8" i="5"/>
  <c r="G8" i="5"/>
  <c r="I8" i="5"/>
  <c r="L4" i="9" l="1"/>
  <c r="L14" i="9" s="1"/>
  <c r="J14" i="9"/>
  <c r="J4" i="7"/>
  <c r="L4" i="7" s="1"/>
  <c r="C14" i="7"/>
  <c r="J7" i="7"/>
  <c r="L7" i="7" s="1"/>
  <c r="J5" i="7"/>
  <c r="L5" i="7" s="1"/>
  <c r="E5" i="6"/>
  <c r="E6" i="6"/>
  <c r="E7" i="6"/>
  <c r="J7" i="6" s="1"/>
  <c r="E8" i="6"/>
  <c r="J8" i="6" s="1"/>
  <c r="L14" i="7" l="1"/>
  <c r="J14" i="7"/>
  <c r="J2" i="6"/>
  <c r="L2" i="6" s="1"/>
  <c r="D10" i="6"/>
  <c r="D11" i="6" s="1"/>
  <c r="D5" i="6"/>
  <c r="D6" i="6"/>
  <c r="D7" i="6"/>
  <c r="D8" i="6"/>
  <c r="D9" i="6"/>
  <c r="D4" i="6"/>
  <c r="A13" i="6"/>
  <c r="D13" i="6" l="1"/>
  <c r="F5" i="6"/>
  <c r="F6" i="6"/>
  <c r="F7" i="6"/>
  <c r="F8" i="6"/>
  <c r="F13" i="6" l="1"/>
  <c r="I13" i="6"/>
  <c r="C4" i="6"/>
  <c r="C5" i="6"/>
  <c r="C6" i="6"/>
  <c r="C7" i="6"/>
  <c r="C8" i="6"/>
  <c r="C10" i="6"/>
  <c r="G8" i="6"/>
  <c r="G7" i="6"/>
  <c r="G6" i="6"/>
  <c r="G5" i="6"/>
  <c r="E13" i="6" l="1"/>
  <c r="C13" i="6"/>
  <c r="G13" i="6"/>
  <c r="L7" i="6"/>
  <c r="J10" i="6"/>
  <c r="L10" i="6" s="1"/>
  <c r="J4" i="6"/>
  <c r="J9" i="6"/>
  <c r="L9" i="6" s="1"/>
  <c r="J5" i="6"/>
  <c r="L5" i="6" s="1"/>
  <c r="J6" i="6"/>
  <c r="L6" i="6" s="1"/>
  <c r="K15" i="5"/>
  <c r="H2" i="5"/>
  <c r="J8" i="5" s="1"/>
  <c r="L8" i="5" s="1"/>
  <c r="H4" i="5" l="1"/>
  <c r="L8" i="6"/>
  <c r="L4" i="6"/>
  <c r="A15" i="5"/>
  <c r="I4" i="5"/>
  <c r="E5" i="5"/>
  <c r="E6" i="5"/>
  <c r="E7" i="5"/>
  <c r="E9" i="5"/>
  <c r="E4" i="5"/>
  <c r="I5" i="5"/>
  <c r="I6" i="5"/>
  <c r="I7" i="5"/>
  <c r="I9" i="5"/>
  <c r="I11" i="5"/>
  <c r="G5" i="5"/>
  <c r="G6" i="5"/>
  <c r="G7" i="5"/>
  <c r="G9" i="5"/>
  <c r="G4" i="5"/>
  <c r="F5" i="5"/>
  <c r="F6" i="5"/>
  <c r="F7" i="5"/>
  <c r="F9" i="5"/>
  <c r="F4" i="5"/>
  <c r="C5" i="5"/>
  <c r="C6" i="5"/>
  <c r="C7" i="5"/>
  <c r="C9" i="5"/>
  <c r="C11" i="5"/>
  <c r="C12" i="5"/>
  <c r="J11" i="6" l="1"/>
  <c r="L11" i="6" s="1"/>
  <c r="G15" i="5"/>
  <c r="F15" i="5"/>
  <c r="E15" i="5"/>
  <c r="C15" i="5"/>
  <c r="D15" i="5"/>
  <c r="H15" i="5"/>
  <c r="J4" i="5"/>
  <c r="J5" i="5"/>
  <c r="L5" i="5" s="1"/>
  <c r="I12" i="5"/>
  <c r="I15" i="5" s="1"/>
  <c r="J13" i="6" l="1"/>
  <c r="L13" i="6" s="1"/>
  <c r="L4" i="5"/>
  <c r="J2" i="5"/>
  <c r="L2" i="5" s="1"/>
  <c r="H2" i="1" l="1"/>
  <c r="I2" i="1" l="1"/>
  <c r="H7" i="1"/>
  <c r="G7" i="1"/>
  <c r="F7" i="1"/>
  <c r="E7" i="1"/>
  <c r="E8" i="1" s="1"/>
  <c r="E9" i="1" s="1"/>
  <c r="E10" i="1" s="1"/>
  <c r="C4" i="1"/>
  <c r="C13" i="1"/>
  <c r="L7" i="1"/>
  <c r="C5" i="1"/>
  <c r="C6" i="1" s="1"/>
  <c r="C7" i="1" s="1"/>
  <c r="C8" i="1" s="1"/>
  <c r="C9" i="1" s="1"/>
  <c r="I4" i="1" l="1"/>
  <c r="H8" i="1"/>
  <c r="H9" i="1" s="1"/>
  <c r="H10" i="1" s="1"/>
  <c r="I10" i="1" s="1"/>
  <c r="G8" i="1"/>
  <c r="G9" i="1" s="1"/>
  <c r="G10" i="1" s="1"/>
  <c r="F8" i="1"/>
  <c r="F9" i="1" s="1"/>
  <c r="F10" i="1" s="1"/>
  <c r="E13" i="1"/>
  <c r="J11" i="5" l="1"/>
  <c r="L11" i="5" s="1"/>
  <c r="I5" i="1"/>
  <c r="J12" i="5"/>
  <c r="L12" i="5" s="1"/>
  <c r="H13" i="1"/>
  <c r="G13" i="1"/>
  <c r="F13" i="1"/>
  <c r="I8" i="1"/>
  <c r="I9" i="1"/>
  <c r="I6" i="1" l="1"/>
  <c r="I7" i="1" l="1"/>
  <c r="I12" i="1" s="1"/>
  <c r="D13" i="1"/>
  <c r="I13" i="1" s="1"/>
  <c r="J6" i="5"/>
  <c r="L6" i="5" l="1"/>
  <c r="J7" i="5"/>
  <c r="L7" i="5" s="1"/>
  <c r="J10" i="5" l="1"/>
  <c r="L10" i="5" s="1"/>
  <c r="J9" i="5"/>
  <c r="L9" i="5" l="1"/>
  <c r="J15" i="5"/>
  <c r="L15" i="5" s="1"/>
  <c r="J16" i="25"/>
</calcChain>
</file>

<file path=xl/sharedStrings.xml><?xml version="1.0" encoding="utf-8"?>
<sst xmlns="http://schemas.openxmlformats.org/spreadsheetml/2006/main" count="1015" uniqueCount="176">
  <si>
    <t>S.No</t>
  </si>
  <si>
    <t>Name</t>
  </si>
  <si>
    <t>Maintenance</t>
  </si>
  <si>
    <t>Rent</t>
  </si>
  <si>
    <t>Internet</t>
  </si>
  <si>
    <t>Food</t>
  </si>
  <si>
    <t>Mahesh</t>
  </si>
  <si>
    <t>Raja</t>
  </si>
  <si>
    <t>Venkatesh</t>
  </si>
  <si>
    <t>Naveen</t>
  </si>
  <si>
    <t>Babu</t>
  </si>
  <si>
    <t>Kiran Kumar</t>
  </si>
  <si>
    <t>Total</t>
  </si>
  <si>
    <t>Current</t>
  </si>
  <si>
    <t xml:space="preserve">Ruban </t>
  </si>
  <si>
    <t>Main</t>
  </si>
  <si>
    <t>internet</t>
  </si>
  <si>
    <t>Carry Forward</t>
  </si>
  <si>
    <t>Electric work</t>
  </si>
  <si>
    <t>Maid</t>
  </si>
  <si>
    <t>Hari</t>
  </si>
  <si>
    <t>Carry Forwarded Amount</t>
  </si>
  <si>
    <t>Hari's frd</t>
  </si>
  <si>
    <t>GrassTotal</t>
  </si>
  <si>
    <t>Net Total</t>
  </si>
  <si>
    <t>Food &amp; Water</t>
  </si>
  <si>
    <t>Each Spent on Food</t>
  </si>
  <si>
    <t>NOTE:</t>
  </si>
  <si>
    <t>Power bill genrated once for every 2 months so bill genreated in JAN not in DEC. This month I have add 500 as power bill based on next month bill I will balance the amount.</t>
  </si>
  <si>
    <t>Note:</t>
  </si>
  <si>
    <t>JAN month power bill is 620/- last month I have included 500/- as power bill so remaining 120/- incluing this month</t>
  </si>
  <si>
    <t>January month intenet Bill I need to include in Feb month</t>
  </si>
  <si>
    <t xml:space="preserve">Internet </t>
  </si>
  <si>
    <t xml:space="preserve">Each Spent </t>
  </si>
  <si>
    <t>sathish</t>
  </si>
  <si>
    <t>Hari frds exceeds amount</t>
  </si>
  <si>
    <t>internet bill</t>
  </si>
  <si>
    <t>Rice bag</t>
  </si>
  <si>
    <t>Sathish</t>
  </si>
  <si>
    <t>Spent by my end</t>
  </si>
  <si>
    <t>I need to add to rent amount</t>
  </si>
  <si>
    <t>Sent Amount</t>
  </si>
  <si>
    <t>Include food</t>
  </si>
  <si>
    <t>mahesh</t>
  </si>
  <si>
    <t>Account Bal</t>
  </si>
  <si>
    <t>675+590(MAB)</t>
  </si>
  <si>
    <t>total</t>
  </si>
  <si>
    <t>sent back</t>
  </si>
  <si>
    <t>Need to send to kiran</t>
  </si>
  <si>
    <t>remaining</t>
  </si>
  <si>
    <t>kiran</t>
  </si>
  <si>
    <t>Dhamu</t>
  </si>
  <si>
    <t>Raja's frnd</t>
  </si>
  <si>
    <t>Kiran</t>
  </si>
  <si>
    <t>Raghuram</t>
  </si>
  <si>
    <t>Shop &amp; Water</t>
  </si>
  <si>
    <t>Spent Each</t>
  </si>
  <si>
    <t>Feb &amp; March Month Rice Bags (1100+1000) = 2100</t>
  </si>
  <si>
    <t>Company</t>
  </si>
  <si>
    <t>Contact No</t>
  </si>
  <si>
    <t>Mahesh V</t>
  </si>
  <si>
    <t>Tech Mahindra</t>
  </si>
  <si>
    <t xml:space="preserve">Raja </t>
  </si>
  <si>
    <t>Wipro</t>
  </si>
  <si>
    <t>Sathish R</t>
  </si>
  <si>
    <t>Ruban V</t>
  </si>
  <si>
    <t>Kiran V</t>
  </si>
  <si>
    <t>Indium Software</t>
  </si>
  <si>
    <t>Each Spent</t>
  </si>
  <si>
    <t>Food Bill = Each Spent + Shop&amp;Water Bill</t>
  </si>
  <si>
    <t>Shop&amp;Water Bill</t>
  </si>
  <si>
    <t>Each spent Total</t>
  </si>
  <si>
    <t>Received</t>
  </si>
  <si>
    <t>Settled</t>
  </si>
  <si>
    <t>Remaining</t>
  </si>
  <si>
    <t xml:space="preserve">Month </t>
  </si>
  <si>
    <t>Date</t>
  </si>
  <si>
    <t>Amount</t>
  </si>
  <si>
    <t>March</t>
  </si>
  <si>
    <t>14/03/2022</t>
  </si>
  <si>
    <t>February</t>
  </si>
  <si>
    <t>16/02/2022</t>
  </si>
  <si>
    <t>January</t>
  </si>
  <si>
    <t>April</t>
  </si>
  <si>
    <t>May</t>
  </si>
  <si>
    <t>16/05/2022</t>
  </si>
  <si>
    <t>15/05/2022</t>
  </si>
  <si>
    <t>December</t>
  </si>
  <si>
    <t>November</t>
  </si>
  <si>
    <t>October</t>
  </si>
  <si>
    <t>June</t>
  </si>
  <si>
    <t>July</t>
  </si>
  <si>
    <t>August</t>
  </si>
  <si>
    <t>September</t>
  </si>
  <si>
    <t>14/06/2021</t>
  </si>
  <si>
    <t>15/07/2021</t>
  </si>
  <si>
    <t>22/09/2021</t>
  </si>
  <si>
    <t>13/12/2021</t>
  </si>
  <si>
    <t>15/11/2021</t>
  </si>
  <si>
    <t>15/12/2020</t>
  </si>
  <si>
    <t>15/02/2021</t>
  </si>
  <si>
    <t>Teja</t>
  </si>
  <si>
    <t>Shankar</t>
  </si>
  <si>
    <t>Spent Amount</t>
  </si>
  <si>
    <t>Food bill Total</t>
  </si>
  <si>
    <t>Shop&amp;Water</t>
  </si>
  <si>
    <t>Shop&amp;Water bill</t>
  </si>
  <si>
    <t>Arrears</t>
  </si>
  <si>
    <t>Venkatesh's last month amout shared equally by Mahesh and Sathish</t>
  </si>
  <si>
    <t>Kiran's  frd</t>
  </si>
  <si>
    <t>Vipin</t>
  </si>
  <si>
    <t>Janardhan</t>
  </si>
  <si>
    <t>Ganesh</t>
  </si>
  <si>
    <t>Person</t>
  </si>
  <si>
    <t>Sankar</t>
  </si>
  <si>
    <t>Pavan</t>
  </si>
  <si>
    <t>Trilok</t>
  </si>
  <si>
    <t>Raja's frd</t>
  </si>
  <si>
    <t>Head Count</t>
  </si>
  <si>
    <t>Full</t>
  </si>
  <si>
    <t>Half</t>
  </si>
  <si>
    <t>Food Bill</t>
  </si>
  <si>
    <t>Spent Total</t>
  </si>
  <si>
    <t>Shop&amp;water</t>
  </si>
  <si>
    <t>Acctually Received</t>
  </si>
  <si>
    <t>gully boy</t>
  </si>
  <si>
    <t>mohan</t>
  </si>
  <si>
    <t>naveen</t>
  </si>
  <si>
    <t>vetri</t>
  </si>
  <si>
    <t>jana</t>
  </si>
  <si>
    <t>Vishnu</t>
  </si>
  <si>
    <t>vishnu</t>
  </si>
  <si>
    <t>raja</t>
  </si>
  <si>
    <t>Ammount</t>
  </si>
  <si>
    <t>Per Head</t>
  </si>
  <si>
    <t>Grass Total</t>
  </si>
  <si>
    <t>Rice Cooker</t>
  </si>
  <si>
    <t>V kiran kumar</t>
  </si>
  <si>
    <t>Deduction</t>
  </si>
  <si>
    <t>Advance Return</t>
  </si>
  <si>
    <t>Advance Amount Paid</t>
  </si>
  <si>
    <t>Advance Amount to be Paid</t>
  </si>
  <si>
    <t>Sub Total</t>
  </si>
  <si>
    <t>Surendar</t>
  </si>
  <si>
    <t>gully boy frd</t>
  </si>
  <si>
    <t>Ruban</t>
  </si>
  <si>
    <t>washing machine &amp; Accessories</t>
  </si>
  <si>
    <t>stand</t>
  </si>
  <si>
    <t>washing mach</t>
  </si>
  <si>
    <t>tap</t>
  </si>
  <si>
    <t>plumber</t>
  </si>
  <si>
    <t>switch</t>
  </si>
  <si>
    <t>Current Bill</t>
  </si>
  <si>
    <t>Wifi for 2 months</t>
  </si>
  <si>
    <t>wifi</t>
  </si>
  <si>
    <t>Wifi &amp; current</t>
  </si>
  <si>
    <t>wifi &amp;current</t>
  </si>
  <si>
    <t>wifi &amp; current</t>
  </si>
  <si>
    <t>Balance</t>
  </si>
  <si>
    <t>Summary</t>
  </si>
  <si>
    <t>Advance to be collected</t>
  </si>
  <si>
    <t>Advance to be Returened</t>
  </si>
  <si>
    <t>TBC</t>
  </si>
  <si>
    <t>Kiran R(Gully Boy)</t>
  </si>
  <si>
    <t>Advance Amount</t>
  </si>
  <si>
    <t>paid</t>
  </si>
  <si>
    <t>Paid</t>
  </si>
  <si>
    <t>Advance</t>
  </si>
  <si>
    <t>Sink Plate</t>
  </si>
  <si>
    <t>Sunil</t>
  </si>
  <si>
    <t>Wifi &amp; stationary</t>
  </si>
  <si>
    <t>wifi &amp; stationRY</t>
  </si>
  <si>
    <t>CLOSED</t>
  </si>
  <si>
    <t>Ajay</t>
  </si>
  <si>
    <t>venkatesh</t>
  </si>
  <si>
    <t>3-months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</si>
</sst>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2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1" fontId="0" fillId="0" borderId="1" xfId="0" applyNumberFormat="1" applyBorder="1"/>
    <xf numFmtId="0" fontId="0" fillId="2" borderId="0" xfId="0" applyFill="1" applyBorder="1"/>
    <xf numFmtId="1" fontId="0" fillId="0" borderId="1" xfId="0" applyNumberForma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 applyAlignment="1">
      <alignment wrapText="1"/>
    </xf>
    <xf numFmtId="0" fontId="0" fillId="0" borderId="0" xfId="0" applyFill="1"/>
    <xf numFmtId="0" fontId="0" fillId="0" borderId="0" xfId="0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/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1" fontId="3" fillId="4" borderId="6" xfId="0" applyNumberFormat="1" applyFont="1" applyFill="1" applyBorder="1"/>
    <xf numFmtId="0" fontId="3" fillId="4" borderId="6" xfId="0" applyFont="1" applyFill="1" applyBorder="1"/>
    <xf numFmtId="0" fontId="0" fillId="3" borderId="0" xfId="0" applyFill="1"/>
    <xf numFmtId="1" fontId="0" fillId="3" borderId="0" xfId="0" applyNumberFormat="1" applyFill="1" applyBorder="1"/>
    <xf numFmtId="0" fontId="0" fillId="3" borderId="0" xfId="0" applyFill="1" applyAlignment="1">
      <alignment wrapText="1"/>
    </xf>
    <xf numFmtId="1" fontId="0" fillId="0" borderId="0" xfId="0" applyNumberFormat="1"/>
    <xf numFmtId="1" fontId="4" fillId="5" borderId="1" xfId="0" applyNumberFormat="1" applyFont="1" applyFill="1" applyBorder="1" applyAlignment="1">
      <alignment wrapText="1"/>
    </xf>
    <xf numFmtId="1" fontId="3" fillId="0" borderId="0" xfId="0" applyNumberFormat="1" applyFont="1" applyFill="1" applyBorder="1"/>
    <xf numFmtId="0" fontId="0" fillId="0" borderId="0" xfId="0" applyFill="1" applyAlignment="1"/>
    <xf numFmtId="1" fontId="0" fillId="3" borderId="0" xfId="0" applyNumberFormat="1" applyFill="1"/>
    <xf numFmtId="0" fontId="0" fillId="6" borderId="0" xfId="0" applyFill="1"/>
    <xf numFmtId="1" fontId="2" fillId="3" borderId="1" xfId="0" applyNumberFormat="1" applyFont="1" applyFill="1" applyBorder="1" applyAlignment="1">
      <alignment wrapText="1"/>
    </xf>
    <xf numFmtId="165" fontId="0" fillId="0" borderId="0" xfId="1" applyNumberFormat="1" applyFont="1" applyBorder="1"/>
    <xf numFmtId="165" fontId="0" fillId="0" borderId="0" xfId="1" applyNumberFormat="1" applyFont="1"/>
    <xf numFmtId="165" fontId="1" fillId="3" borderId="1" xfId="1" applyNumberFormat="1" applyFont="1" applyFill="1" applyBorder="1"/>
    <xf numFmtId="165" fontId="1" fillId="3" borderId="1" xfId="1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1" fillId="2" borderId="16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1" fontId="2" fillId="0" borderId="1" xfId="0" applyNumberFormat="1" applyFont="1" applyBorder="1"/>
    <xf numFmtId="14" fontId="0" fillId="0" borderId="0" xfId="0" applyNumberFormat="1"/>
    <xf numFmtId="1" fontId="2" fillId="0" borderId="0" xfId="0" applyNumberFormat="1" applyFont="1" applyBorder="1"/>
    <xf numFmtId="0" fontId="2" fillId="0" borderId="0" xfId="0" applyFont="1" applyBorder="1"/>
    <xf numFmtId="1" fontId="3" fillId="0" borderId="0" xfId="0" applyNumberFormat="1" applyFont="1" applyFill="1" applyBorder="1" applyAlignment="1">
      <alignment horizontal="center"/>
    </xf>
    <xf numFmtId="0" fontId="0" fillId="0" borderId="20" xfId="0" applyBorder="1"/>
    <xf numFmtId="0" fontId="2" fillId="7" borderId="1" xfId="0" applyFont="1" applyFill="1" applyBorder="1"/>
    <xf numFmtId="1" fontId="0" fillId="7" borderId="0" xfId="0" applyNumberFormat="1" applyFill="1" applyBorder="1"/>
    <xf numFmtId="1" fontId="3" fillId="4" borderId="17" xfId="0" applyNumberFormat="1" applyFont="1" applyFill="1" applyBorder="1"/>
    <xf numFmtId="0" fontId="0" fillId="8" borderId="5" xfId="0" applyFill="1" applyBorder="1" applyAlignment="1">
      <alignment wrapText="1"/>
    </xf>
    <xf numFmtId="0" fontId="0" fillId="8" borderId="1" xfId="0" applyFill="1" applyBorder="1"/>
    <xf numFmtId="1" fontId="0" fillId="8" borderId="1" xfId="0" applyNumberFormat="1" applyFill="1" applyBorder="1"/>
    <xf numFmtId="1" fontId="0" fillId="8" borderId="1" xfId="0" applyNumberFormat="1" applyFill="1" applyBorder="1" applyAlignment="1">
      <alignment wrapText="1"/>
    </xf>
    <xf numFmtId="1" fontId="3" fillId="8" borderId="6" xfId="0" applyNumberFormat="1" applyFont="1" applyFill="1" applyBorder="1"/>
    <xf numFmtId="2" fontId="0" fillId="3" borderId="1" xfId="0" applyNumberFormat="1" applyFill="1" applyBorder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0" fillId="0" borderId="0" xfId="0" applyNumberFormat="1" applyFill="1" applyBorder="1"/>
    <xf numFmtId="0" fontId="0" fillId="0" borderId="1" xfId="0" applyBorder="1" applyAlignment="1">
      <alignment horizontal="center"/>
    </xf>
    <xf numFmtId="1" fontId="0" fillId="3" borderId="1" xfId="0" applyNumberFormat="1" applyFill="1" applyBorder="1"/>
    <xf numFmtId="0" fontId="0" fillId="0" borderId="5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7" borderId="0" xfId="0" applyFill="1" applyBorder="1" applyAlignment="1">
      <alignment wrapText="1"/>
    </xf>
    <xf numFmtId="1" fontId="0" fillId="7" borderId="0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1" fontId="2" fillId="0" borderId="1" xfId="0" applyNumberFormat="1" applyFont="1" applyBorder="1" applyAlignment="1">
      <alignment wrapText="1"/>
    </xf>
    <xf numFmtId="1" fontId="3" fillId="0" borderId="6" xfId="0" applyNumberFormat="1" applyFont="1" applyFill="1" applyBorder="1"/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9" borderId="5" xfId="0" applyFill="1" applyBorder="1" applyAlignment="1">
      <alignment wrapText="1"/>
    </xf>
    <xf numFmtId="0" fontId="0" fillId="9" borderId="1" xfId="0" applyFill="1" applyBorder="1"/>
    <xf numFmtId="1" fontId="0" fillId="9" borderId="1" xfId="0" applyNumberFormat="1" applyFill="1" applyBorder="1"/>
    <xf numFmtId="1" fontId="0" fillId="9" borderId="1" xfId="0" applyNumberFormat="1" applyFill="1" applyBorder="1" applyAlignment="1">
      <alignment wrapText="1"/>
    </xf>
    <xf numFmtId="0" fontId="0" fillId="9" borderId="1" xfId="0" applyFill="1" applyBorder="1" applyAlignment="1">
      <alignment wrapText="1"/>
    </xf>
    <xf numFmtId="1" fontId="3" fillId="9" borderId="6" xfId="0" applyNumberFormat="1" applyFont="1" applyFill="1" applyBorder="1" applyAlignment="1">
      <alignment horizontal="right"/>
    </xf>
    <xf numFmtId="0" fontId="2" fillId="0" borderId="3" xfId="0" applyFont="1" applyBorder="1"/>
    <xf numFmtId="1" fontId="2" fillId="0" borderId="4" xfId="0" applyNumberFormat="1" applyFont="1" applyBorder="1" applyAlignment="1">
      <alignment horizontal="right"/>
    </xf>
    <xf numFmtId="0" fontId="2" fillId="0" borderId="5" xfId="0" applyFont="1" applyBorder="1"/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" fontId="2" fillId="0" borderId="9" xfId="0" applyNumberFormat="1" applyFont="1" applyBorder="1" applyAlignment="1">
      <alignment horizontal="right"/>
    </xf>
    <xf numFmtId="0" fontId="0" fillId="0" borderId="3" xfId="0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3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0" borderId="5" xfId="0" applyBorder="1"/>
    <xf numFmtId="2" fontId="0" fillId="3" borderId="6" xfId="0" applyNumberFormat="1" applyFill="1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0" fillId="0" borderId="5" xfId="0" applyBorder="1" applyAlignment="1">
      <alignment horizontal="center" vertical="center"/>
    </xf>
    <xf numFmtId="1" fontId="3" fillId="10" borderId="6" xfId="0" applyNumberFormat="1" applyFont="1" applyFill="1" applyBorder="1" applyAlignment="1">
      <alignment horizontal="right"/>
    </xf>
    <xf numFmtId="0" fontId="2" fillId="0" borderId="7" xfId="0" applyFont="1" applyFill="1" applyBorder="1"/>
    <xf numFmtId="1" fontId="0" fillId="0" borderId="9" xfId="0" applyNumberFormat="1" applyBorder="1"/>
    <xf numFmtId="0" fontId="2" fillId="0" borderId="11" xfId="0" applyFont="1" applyBorder="1"/>
    <xf numFmtId="1" fontId="2" fillId="0" borderId="14" xfId="0" applyNumberFormat="1" applyFont="1" applyBorder="1" applyAlignment="1">
      <alignment horizontal="right"/>
    </xf>
    <xf numFmtId="164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0" borderId="26" xfId="0" applyFill="1" applyBorder="1"/>
    <xf numFmtId="1" fontId="0" fillId="0" borderId="1" xfId="0" applyNumberFormat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wrapText="1"/>
    </xf>
    <xf numFmtId="164" fontId="0" fillId="0" borderId="1" xfId="1" applyFont="1" applyBorder="1"/>
    <xf numFmtId="164" fontId="9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164" fontId="8" fillId="0" borderId="1" xfId="1" applyFont="1" applyBorder="1"/>
    <xf numFmtId="0" fontId="0" fillId="6" borderId="1" xfId="0" applyFill="1" applyBorder="1"/>
    <xf numFmtId="164" fontId="0" fillId="6" borderId="1" xfId="1" applyFont="1" applyFill="1" applyBorder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10" borderId="26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0" fillId="7" borderId="38" xfId="1" applyFont="1" applyFill="1" applyBorder="1" applyAlignment="1">
      <alignment horizontal="center" vertical="center"/>
    </xf>
    <xf numFmtId="164" fontId="10" fillId="7" borderId="0" xfId="1" applyFont="1" applyFill="1" applyAlignment="1">
      <alignment horizontal="center" vertical="center"/>
    </xf>
    <xf numFmtId="43" fontId="0" fillId="7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4" fontId="11" fillId="11" borderId="1" xfId="1" applyFont="1" applyFill="1" applyBorder="1"/>
    <xf numFmtId="0" fontId="11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7" xfId="0" applyFont="1" applyBorder="1"/>
    <xf numFmtId="0" fontId="0" fillId="0" borderId="26" xfId="0" applyBorder="1"/>
    <xf numFmtId="0" fontId="0" fillId="5" borderId="1" xfId="0" applyFill="1" applyBorder="1"/>
    <xf numFmtId="0" fontId="0" fillId="2" borderId="2" xfId="0" applyFont="1" applyFill="1" applyBorder="1" applyAlignment="1">
      <alignment vertical="center" wrapText="1"/>
    </xf>
    <xf numFmtId="164" fontId="0" fillId="7" borderId="16" xfId="1" applyFont="1" applyFill="1" applyBorder="1" applyAlignment="1">
      <alignment horizontal="center" vertical="center"/>
    </xf>
    <xf numFmtId="0" fontId="0" fillId="5" borderId="0" xfId="0" applyFill="1"/>
    <xf numFmtId="0" fontId="0" fillId="3" borderId="38" xfId="0" applyFill="1" applyBorder="1"/>
    <xf numFmtId="0" fontId="0" fillId="0" borderId="1" xfId="0" applyBorder="1" applyAlignment="1">
      <alignment horizontal="center"/>
    </xf>
    <xf numFmtId="164" fontId="0" fillId="5" borderId="0" xfId="1" applyFont="1" applyFill="1"/>
    <xf numFmtId="0" fontId="0" fillId="3" borderId="0" xfId="0" applyFill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4" borderId="8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3" fillId="4" borderId="17" xfId="0" applyNumberFormat="1" applyFont="1" applyFill="1" applyBorder="1" applyAlignment="1">
      <alignment horizontal="center"/>
    </xf>
    <xf numFmtId="1" fontId="3" fillId="4" borderId="1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" fontId="3" fillId="4" borderId="10" xfId="0" applyNumberFormat="1" applyFont="1" applyFill="1" applyBorder="1" applyAlignment="1">
      <alignment horizontal="center"/>
    </xf>
    <xf numFmtId="1" fontId="3" fillId="4" borderId="22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1" fontId="3" fillId="10" borderId="8" xfId="0" applyNumberFormat="1" applyFont="1" applyFill="1" applyBorder="1" applyAlignment="1">
      <alignment horizontal="center" vertical="center"/>
    </xf>
    <xf numFmtId="1" fontId="3" fillId="10" borderId="6" xfId="0" applyNumberFormat="1" applyFont="1" applyFill="1" applyBorder="1" applyAlignment="1">
      <alignment horizontal="right" vertical="center"/>
    </xf>
    <xf numFmtId="1" fontId="3" fillId="10" borderId="9" xfId="0" applyNumberFormat="1" applyFont="1" applyFill="1" applyBorder="1" applyAlignment="1">
      <alignment horizontal="right" vertic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CF5F-3314-4F10-9B6E-FB1DFFC1FB62}">
  <dimension ref="A1:D6"/>
  <sheetViews>
    <sheetView workbookViewId="0">
      <selection activeCell="B2" sqref="B2"/>
    </sheetView>
  </sheetViews>
  <sheetFormatPr defaultRowHeight="14.5" x14ac:dyDescent="0.35"/>
  <cols>
    <col min="1" max="1" width="4.6328125" bestFit="1" customWidth="1"/>
    <col min="2" max="2" width="12.54296875" bestFit="1" customWidth="1"/>
    <col min="3" max="3" width="14.7265625" bestFit="1" customWidth="1"/>
    <col min="4" max="4" width="10.81640625" bestFit="1" customWidth="1"/>
  </cols>
  <sheetData>
    <row r="1" spans="1:4" x14ac:dyDescent="0.35">
      <c r="A1" s="34" t="s">
        <v>0</v>
      </c>
      <c r="B1" s="34" t="s">
        <v>1</v>
      </c>
      <c r="C1" s="34" t="s">
        <v>58</v>
      </c>
      <c r="D1" s="34" t="s">
        <v>59</v>
      </c>
    </row>
    <row r="2" spans="1:4" x14ac:dyDescent="0.35">
      <c r="A2">
        <v>1</v>
      </c>
      <c r="B2" t="s">
        <v>60</v>
      </c>
      <c r="C2" t="s">
        <v>61</v>
      </c>
      <c r="D2">
        <v>9618210030</v>
      </c>
    </row>
    <row r="3" spans="1:4" x14ac:dyDescent="0.35">
      <c r="A3">
        <v>2</v>
      </c>
      <c r="B3" t="s">
        <v>62</v>
      </c>
      <c r="C3" t="s">
        <v>63</v>
      </c>
      <c r="D3">
        <v>7598922083</v>
      </c>
    </row>
    <row r="4" spans="1:4" x14ac:dyDescent="0.35">
      <c r="A4">
        <v>3</v>
      </c>
      <c r="B4" t="s">
        <v>66</v>
      </c>
      <c r="C4" t="s">
        <v>63</v>
      </c>
      <c r="D4">
        <v>9597325497</v>
      </c>
    </row>
    <row r="5" spans="1:4" x14ac:dyDescent="0.35">
      <c r="A5">
        <v>4</v>
      </c>
      <c r="B5" t="s">
        <v>65</v>
      </c>
      <c r="C5" t="s">
        <v>67</v>
      </c>
      <c r="D5">
        <v>9176284382</v>
      </c>
    </row>
    <row r="6" spans="1:4" x14ac:dyDescent="0.35">
      <c r="A6">
        <v>5</v>
      </c>
      <c r="B6" t="s">
        <v>64</v>
      </c>
      <c r="C6" t="s">
        <v>67</v>
      </c>
      <c r="D6">
        <v>7094066719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8C86-F9A4-49EB-990F-3B320FA7EFB2}">
  <dimension ref="A1:U32"/>
  <sheetViews>
    <sheetView zoomScale="60" zoomScaleNormal="60" workbookViewId="0">
      <selection activeCell="O22" sqref="O22"/>
    </sheetView>
  </sheetViews>
  <sheetFormatPr defaultRowHeight="14.5" x14ac:dyDescent="0.35"/>
  <cols>
    <col min="1" max="1" width="5.453125" style="7" customWidth="1"/>
    <col min="2" max="2" width="14.453125" bestFit="1" customWidth="1"/>
    <col min="3" max="3" width="12.36328125" bestFit="1" customWidth="1"/>
    <col min="4" max="4" width="8.08984375" bestFit="1" customWidth="1"/>
    <col min="5" max="5" width="6.7265625" bestFit="1" customWidth="1"/>
    <col min="6" max="6" width="7.54296875" bestFit="1" customWidth="1"/>
    <col min="7" max="7" width="8.08984375" style="7" bestFit="1" customWidth="1"/>
    <col min="8" max="8" width="15.36328125" style="7" bestFit="1" customWidth="1"/>
    <col min="9" max="9" width="9.90625" bestFit="1" customWidth="1"/>
    <col min="10" max="10" width="10.08984375" style="7" bestFit="1" customWidth="1"/>
    <col min="11" max="11" width="8.81640625" customWidth="1"/>
    <col min="12" max="12" width="12.90625" bestFit="1" customWidth="1"/>
    <col min="15" max="15" width="7.7265625" bestFit="1" customWidth="1"/>
    <col min="16" max="16" width="14" bestFit="1" customWidth="1"/>
    <col min="17" max="17" width="10.81640625" bestFit="1" customWidth="1"/>
    <col min="21" max="21" width="15" bestFit="1" customWidth="1"/>
  </cols>
  <sheetData>
    <row r="1" spans="1:21" ht="30" customHeigh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19</v>
      </c>
      <c r="F1" s="25" t="s">
        <v>13</v>
      </c>
      <c r="G1" s="26" t="s">
        <v>25</v>
      </c>
      <c r="H1" s="26" t="s">
        <v>21</v>
      </c>
      <c r="I1" s="25" t="s">
        <v>23</v>
      </c>
      <c r="J1" s="26" t="s">
        <v>33</v>
      </c>
      <c r="K1" s="27" t="s">
        <v>24</v>
      </c>
      <c r="P1" s="1" t="s">
        <v>2</v>
      </c>
      <c r="Q1" s="1" t="s">
        <v>3</v>
      </c>
      <c r="R1" s="1" t="s">
        <v>19</v>
      </c>
      <c r="S1" s="1" t="s">
        <v>13</v>
      </c>
      <c r="T1" s="13" t="s">
        <v>5</v>
      </c>
      <c r="U1" s="13" t="s">
        <v>21</v>
      </c>
    </row>
    <row r="2" spans="1:21" ht="18.5" x14ac:dyDescent="0.45">
      <c r="A2" s="28"/>
      <c r="B2" s="16"/>
      <c r="C2" s="17">
        <v>3400</v>
      </c>
      <c r="D2" s="17">
        <v>19500</v>
      </c>
      <c r="E2" s="17">
        <v>3000</v>
      </c>
      <c r="F2" s="17">
        <v>700</v>
      </c>
      <c r="G2" s="19">
        <f>R30</f>
        <v>13128</v>
      </c>
      <c r="H2" s="19">
        <v>0</v>
      </c>
      <c r="I2" s="17">
        <f>SUM(C2:H2)</f>
        <v>39728</v>
      </c>
      <c r="J2" s="19"/>
      <c r="K2" s="32">
        <f>I2-J2</f>
        <v>39728</v>
      </c>
      <c r="P2" s="68">
        <v>10</v>
      </c>
      <c r="Q2" s="68">
        <v>10</v>
      </c>
      <c r="R2" s="68">
        <v>7</v>
      </c>
      <c r="S2" s="68">
        <v>7</v>
      </c>
      <c r="T2" s="68">
        <v>7</v>
      </c>
      <c r="U2" s="68">
        <v>0</v>
      </c>
    </row>
    <row r="3" spans="1:21" ht="18.5" x14ac:dyDescent="0.45">
      <c r="A3" s="28"/>
      <c r="B3" s="16"/>
      <c r="C3" s="20"/>
      <c r="D3" s="20"/>
      <c r="E3" s="18"/>
      <c r="F3" s="18"/>
      <c r="G3" s="21"/>
      <c r="H3" s="21"/>
      <c r="I3" s="18"/>
      <c r="J3" s="21"/>
      <c r="K3" s="32"/>
    </row>
    <row r="4" spans="1:21" ht="18.5" x14ac:dyDescent="0.45">
      <c r="A4" s="29">
        <v>1</v>
      </c>
      <c r="B4" s="2" t="s">
        <v>126</v>
      </c>
      <c r="C4" s="4">
        <v>340</v>
      </c>
      <c r="D4" s="4">
        <v>2167</v>
      </c>
      <c r="E4" s="4">
        <v>429</v>
      </c>
      <c r="F4" s="4">
        <v>100</v>
      </c>
      <c r="G4" s="9">
        <v>1875</v>
      </c>
      <c r="H4" s="9">
        <v>0</v>
      </c>
      <c r="I4" s="4">
        <v>4335</v>
      </c>
      <c r="J4" s="8">
        <v>3459</v>
      </c>
      <c r="K4" s="32">
        <v>1421</v>
      </c>
      <c r="L4" s="10">
        <f>K4</f>
        <v>1421</v>
      </c>
      <c r="M4" s="14"/>
      <c r="N4" s="14"/>
      <c r="O4" s="2"/>
      <c r="P4" s="1" t="s">
        <v>17</v>
      </c>
    </row>
    <row r="5" spans="1:21" ht="18.5" x14ac:dyDescent="0.45">
      <c r="A5" s="29">
        <v>2</v>
      </c>
      <c r="B5" s="2" t="s">
        <v>11</v>
      </c>
      <c r="C5" s="4">
        <v>340</v>
      </c>
      <c r="D5" s="4">
        <v>2167</v>
      </c>
      <c r="E5" s="4">
        <v>429</v>
      </c>
      <c r="F5" s="4">
        <v>100</v>
      </c>
      <c r="G5" s="9">
        <v>1875</v>
      </c>
      <c r="H5" s="9">
        <v>0</v>
      </c>
      <c r="I5" s="4">
        <f t="shared" ref="I5:I14" si="0">SUM(C5:H5)</f>
        <v>4911</v>
      </c>
      <c r="J5" s="8">
        <v>2570</v>
      </c>
      <c r="K5" s="32">
        <f t="shared" ref="K5:K14" si="1">I5-J5</f>
        <v>2341</v>
      </c>
      <c r="L5" s="10">
        <f t="shared" ref="L5:L14" si="2">K5</f>
        <v>2341</v>
      </c>
      <c r="M5" s="14"/>
      <c r="N5" s="14"/>
      <c r="O5" s="2" t="s">
        <v>4</v>
      </c>
      <c r="P5" s="2">
        <v>0</v>
      </c>
    </row>
    <row r="6" spans="1:21" ht="18.5" x14ac:dyDescent="0.45">
      <c r="A6" s="29">
        <v>3</v>
      </c>
      <c r="B6" s="2" t="s">
        <v>128</v>
      </c>
      <c r="C6" s="4">
        <v>340</v>
      </c>
      <c r="D6" s="4">
        <v>2167</v>
      </c>
      <c r="E6" s="4">
        <v>429</v>
      </c>
      <c r="F6" s="4">
        <v>100</v>
      </c>
      <c r="G6" s="9">
        <v>1875</v>
      </c>
      <c r="H6" s="9">
        <v>0</v>
      </c>
      <c r="I6" s="4">
        <f t="shared" si="0"/>
        <v>4911</v>
      </c>
      <c r="J6" s="8">
        <v>853</v>
      </c>
      <c r="K6" s="32">
        <f t="shared" si="1"/>
        <v>4058</v>
      </c>
      <c r="L6" s="10">
        <f t="shared" si="2"/>
        <v>4058</v>
      </c>
      <c r="M6" s="39"/>
      <c r="N6" s="39"/>
      <c r="S6" s="40"/>
    </row>
    <row r="7" spans="1:21" ht="18.5" x14ac:dyDescent="0.45">
      <c r="A7" s="29">
        <v>4</v>
      </c>
      <c r="B7" s="2" t="s">
        <v>127</v>
      </c>
      <c r="C7" s="4">
        <v>340</v>
      </c>
      <c r="D7" s="4">
        <v>2167</v>
      </c>
      <c r="E7" s="4">
        <v>429</v>
      </c>
      <c r="F7" s="4">
        <v>100</v>
      </c>
      <c r="G7" s="9">
        <v>1875</v>
      </c>
      <c r="H7" s="9">
        <v>0</v>
      </c>
      <c r="I7" s="4">
        <f t="shared" si="0"/>
        <v>4911</v>
      </c>
      <c r="J7" s="8">
        <v>0</v>
      </c>
      <c r="K7" s="32">
        <f t="shared" si="1"/>
        <v>4911</v>
      </c>
      <c r="L7" s="10">
        <f t="shared" si="2"/>
        <v>4911</v>
      </c>
      <c r="M7" s="39"/>
      <c r="N7" s="39"/>
      <c r="Q7" s="34" t="s">
        <v>118</v>
      </c>
      <c r="S7" s="40"/>
    </row>
    <row r="8" spans="1:21" ht="18.5" x14ac:dyDescent="0.45">
      <c r="A8" s="64">
        <v>5</v>
      </c>
      <c r="B8" s="64" t="s">
        <v>8</v>
      </c>
      <c r="C8" s="4">
        <v>340</v>
      </c>
      <c r="D8" s="4">
        <v>0</v>
      </c>
      <c r="E8" s="4">
        <v>428</v>
      </c>
      <c r="F8" s="4">
        <v>100</v>
      </c>
      <c r="G8" s="9">
        <v>1876</v>
      </c>
      <c r="H8" s="65">
        <v>0</v>
      </c>
      <c r="I8" s="4">
        <f t="shared" si="0"/>
        <v>2744</v>
      </c>
      <c r="J8" s="8">
        <f>R21</f>
        <v>0</v>
      </c>
      <c r="K8" s="67">
        <f t="shared" si="1"/>
        <v>2744</v>
      </c>
      <c r="L8" s="10">
        <f t="shared" si="2"/>
        <v>2744</v>
      </c>
      <c r="M8" s="14"/>
      <c r="N8" s="14"/>
      <c r="P8" t="s">
        <v>119</v>
      </c>
      <c r="Q8">
        <v>9</v>
      </c>
    </row>
    <row r="9" spans="1:21" ht="18.5" x14ac:dyDescent="0.45">
      <c r="A9" s="29">
        <v>6</v>
      </c>
      <c r="B9" s="2" t="s">
        <v>131</v>
      </c>
      <c r="C9" s="4">
        <v>340</v>
      </c>
      <c r="D9" s="4">
        <v>2168</v>
      </c>
      <c r="E9" s="4">
        <v>428</v>
      </c>
      <c r="F9" s="4">
        <v>100</v>
      </c>
      <c r="G9" s="9">
        <v>1876</v>
      </c>
      <c r="H9" s="9">
        <v>0</v>
      </c>
      <c r="I9" s="4">
        <f t="shared" si="0"/>
        <v>4912</v>
      </c>
      <c r="J9" s="8">
        <v>355</v>
      </c>
      <c r="K9" s="32">
        <f t="shared" si="1"/>
        <v>4557</v>
      </c>
      <c r="L9" s="10">
        <f t="shared" si="2"/>
        <v>4557</v>
      </c>
      <c r="M9" s="10"/>
      <c r="N9" s="10"/>
      <c r="P9" t="s">
        <v>120</v>
      </c>
      <c r="Q9" s="69">
        <f>0.5*2</f>
        <v>1</v>
      </c>
    </row>
    <row r="10" spans="1:21" ht="18.5" x14ac:dyDescent="0.45">
      <c r="A10" s="29">
        <v>7</v>
      </c>
      <c r="B10" s="2" t="s">
        <v>125</v>
      </c>
      <c r="C10" s="4">
        <v>340</v>
      </c>
      <c r="D10" s="4">
        <v>2166</v>
      </c>
      <c r="E10" s="4">
        <v>428</v>
      </c>
      <c r="F10" s="4">
        <v>100</v>
      </c>
      <c r="G10" s="9">
        <v>1876</v>
      </c>
      <c r="H10" s="9">
        <v>0</v>
      </c>
      <c r="I10" s="4">
        <f t="shared" si="0"/>
        <v>4910</v>
      </c>
      <c r="J10" s="8">
        <v>0</v>
      </c>
      <c r="K10" s="32">
        <f t="shared" si="1"/>
        <v>4910</v>
      </c>
      <c r="L10" s="10">
        <f t="shared" si="2"/>
        <v>4910</v>
      </c>
      <c r="M10" s="10"/>
      <c r="N10" s="10"/>
      <c r="P10" t="s">
        <v>12</v>
      </c>
      <c r="Q10" s="69">
        <f>Q8+Q9</f>
        <v>10</v>
      </c>
    </row>
    <row r="11" spans="1:21" s="22" customFormat="1" ht="18.5" x14ac:dyDescent="0.45">
      <c r="A11" s="80">
        <v>8</v>
      </c>
      <c r="B11" s="3" t="s">
        <v>102</v>
      </c>
      <c r="C11" s="4">
        <v>340</v>
      </c>
      <c r="D11" s="4">
        <v>2166</v>
      </c>
      <c r="E11" s="4">
        <v>0</v>
      </c>
      <c r="F11" s="4">
        <v>0</v>
      </c>
      <c r="G11" s="9">
        <v>0</v>
      </c>
      <c r="H11" s="81">
        <v>0</v>
      </c>
      <c r="I11" s="4">
        <f t="shared" si="0"/>
        <v>2506</v>
      </c>
      <c r="J11" s="8">
        <f>R24</f>
        <v>267</v>
      </c>
      <c r="K11" s="32">
        <f>I11-J11</f>
        <v>2239</v>
      </c>
      <c r="L11" s="74">
        <f t="shared" si="2"/>
        <v>2239</v>
      </c>
    </row>
    <row r="12" spans="1:21" ht="18.5" x14ac:dyDescent="0.45">
      <c r="A12" s="29">
        <v>9</v>
      </c>
      <c r="B12" s="3" t="s">
        <v>132</v>
      </c>
      <c r="C12" s="4">
        <v>340</v>
      </c>
      <c r="D12" s="4">
        <v>2166</v>
      </c>
      <c r="E12" s="4">
        <v>0</v>
      </c>
      <c r="F12" s="4">
        <v>0</v>
      </c>
      <c r="G12" s="9">
        <v>0</v>
      </c>
      <c r="H12" s="9">
        <v>0</v>
      </c>
      <c r="I12" s="4">
        <f t="shared" si="0"/>
        <v>2506</v>
      </c>
      <c r="J12" s="8">
        <v>2550</v>
      </c>
      <c r="K12" s="32">
        <f t="shared" si="1"/>
        <v>-44</v>
      </c>
      <c r="L12" s="10">
        <f t="shared" si="2"/>
        <v>-44</v>
      </c>
    </row>
    <row r="13" spans="1:21" ht="18.5" x14ac:dyDescent="0.45">
      <c r="A13" s="29">
        <v>10</v>
      </c>
      <c r="B13" s="3" t="s">
        <v>129</v>
      </c>
      <c r="C13" s="4">
        <v>340</v>
      </c>
      <c r="D13" s="4">
        <v>2166</v>
      </c>
      <c r="E13" s="4">
        <v>0</v>
      </c>
      <c r="F13" s="4">
        <v>0</v>
      </c>
      <c r="G13" s="9">
        <v>0</v>
      </c>
      <c r="H13" s="9">
        <v>0</v>
      </c>
      <c r="I13" s="4">
        <f t="shared" si="0"/>
        <v>2506</v>
      </c>
      <c r="J13" s="8">
        <v>340</v>
      </c>
      <c r="K13" s="86">
        <f t="shared" si="1"/>
        <v>2166</v>
      </c>
      <c r="L13" s="10">
        <f t="shared" si="2"/>
        <v>2166</v>
      </c>
    </row>
    <row r="14" spans="1:21" ht="18.5" x14ac:dyDescent="0.45">
      <c r="A14" s="29">
        <v>11</v>
      </c>
      <c r="B14" s="3"/>
      <c r="C14" s="4"/>
      <c r="D14" s="4"/>
      <c r="E14" s="4">
        <v>0</v>
      </c>
      <c r="F14" s="4">
        <v>0</v>
      </c>
      <c r="G14" s="9">
        <v>0</v>
      </c>
      <c r="H14" s="4">
        <v>0</v>
      </c>
      <c r="I14" s="4">
        <f t="shared" si="0"/>
        <v>0</v>
      </c>
      <c r="J14" s="8">
        <f>R27</f>
        <v>0</v>
      </c>
      <c r="K14" s="86">
        <f t="shared" si="1"/>
        <v>0</v>
      </c>
      <c r="L14" s="10">
        <f t="shared" si="2"/>
        <v>0</v>
      </c>
    </row>
    <row r="15" spans="1:21" ht="14.5" customHeight="1" x14ac:dyDescent="0.45">
      <c r="A15" s="165">
        <f>COUNT(A4:A9)</f>
        <v>6</v>
      </c>
      <c r="B15" s="167" t="s">
        <v>12</v>
      </c>
      <c r="C15" s="169">
        <f>SUM(C4:C14)</f>
        <v>3400</v>
      </c>
      <c r="D15" s="169">
        <f t="shared" ref="D15:I15" si="3">SUM(D4:D14)</f>
        <v>19500</v>
      </c>
      <c r="E15" s="169">
        <f>SUM(E4:E14)</f>
        <v>3000</v>
      </c>
      <c r="F15" s="169">
        <f>SUM(F4:F14)</f>
        <v>700</v>
      </c>
      <c r="G15" s="169">
        <f>SUM(G4:G14)</f>
        <v>13128</v>
      </c>
      <c r="H15" s="169">
        <f t="shared" si="3"/>
        <v>0</v>
      </c>
      <c r="I15" s="169">
        <f t="shared" si="3"/>
        <v>39152</v>
      </c>
      <c r="J15" s="169">
        <f>SUM(J4:J14)</f>
        <v>10394</v>
      </c>
      <c r="K15" s="169">
        <f>SUM(K4:K14)</f>
        <v>29303</v>
      </c>
      <c r="L15" s="169">
        <f>SUM(L4:L14)</f>
        <v>29303</v>
      </c>
      <c r="M15" s="169" t="s">
        <v>73</v>
      </c>
      <c r="N15" s="58"/>
      <c r="O15" s="190" t="s">
        <v>0</v>
      </c>
      <c r="P15" s="189" t="s">
        <v>69</v>
      </c>
      <c r="Q15" s="189"/>
      <c r="R15" s="189"/>
      <c r="S15" s="189"/>
    </row>
    <row r="16" spans="1:21" ht="15" customHeight="1" thickBot="1" x14ac:dyDescent="0.5">
      <c r="A16" s="166"/>
      <c r="B16" s="168"/>
      <c r="C16" s="170"/>
      <c r="D16" s="170"/>
      <c r="E16" s="170"/>
      <c r="F16" s="170"/>
      <c r="G16" s="170"/>
      <c r="H16" s="170"/>
      <c r="I16" s="170"/>
      <c r="J16" s="170"/>
      <c r="K16" s="170"/>
      <c r="L16" s="169"/>
      <c r="M16" s="169"/>
      <c r="N16" s="58"/>
      <c r="O16" s="190"/>
      <c r="P16" s="189" t="s">
        <v>1</v>
      </c>
      <c r="Q16" s="189"/>
      <c r="R16" s="189" t="s">
        <v>103</v>
      </c>
      <c r="S16" s="189"/>
    </row>
    <row r="17" spans="2:19" ht="15.5" x14ac:dyDescent="0.35">
      <c r="K17" s="10"/>
      <c r="L17" s="18" t="s">
        <v>12</v>
      </c>
      <c r="M17" s="54">
        <f>-L15</f>
        <v>-29303</v>
      </c>
      <c r="N17" s="56"/>
      <c r="O17" s="2">
        <v>1</v>
      </c>
      <c r="P17" s="185" t="s">
        <v>130</v>
      </c>
      <c r="Q17" s="185"/>
      <c r="R17" s="190">
        <v>355</v>
      </c>
      <c r="S17" s="190"/>
    </row>
    <row r="18" spans="2:19" ht="15.5" x14ac:dyDescent="0.35">
      <c r="B18" s="7"/>
      <c r="I18" s="23"/>
      <c r="J18" s="23"/>
      <c r="L18" s="18" t="s">
        <v>2</v>
      </c>
      <c r="M18" s="18">
        <f>C2</f>
        <v>3400</v>
      </c>
      <c r="N18" s="57"/>
      <c r="O18" s="2">
        <v>2</v>
      </c>
      <c r="P18" s="185" t="s">
        <v>11</v>
      </c>
      <c r="Q18" s="185"/>
      <c r="R18" s="190">
        <v>2570</v>
      </c>
      <c r="S18" s="190"/>
    </row>
    <row r="19" spans="2:19" ht="15.5" x14ac:dyDescent="0.35">
      <c r="B19" s="7"/>
      <c r="I19" s="22"/>
      <c r="J19" s="31"/>
      <c r="L19" s="18" t="s">
        <v>3</v>
      </c>
      <c r="M19" s="18">
        <f>D2</f>
        <v>19500</v>
      </c>
      <c r="N19" s="57"/>
      <c r="O19" s="2">
        <v>3</v>
      </c>
      <c r="P19" s="185" t="s">
        <v>126</v>
      </c>
      <c r="Q19" s="185"/>
      <c r="R19" s="190">
        <v>3459</v>
      </c>
      <c r="S19" s="190"/>
    </row>
    <row r="20" spans="2:19" ht="15.5" x14ac:dyDescent="0.35">
      <c r="L20" s="18" t="s">
        <v>19</v>
      </c>
      <c r="M20" s="18">
        <f>E2</f>
        <v>3000</v>
      </c>
      <c r="N20" s="57"/>
      <c r="O20" s="2">
        <v>4</v>
      </c>
      <c r="P20" s="185" t="s">
        <v>128</v>
      </c>
      <c r="Q20" s="185"/>
      <c r="R20" s="190">
        <v>853</v>
      </c>
      <c r="S20" s="190"/>
    </row>
    <row r="21" spans="2:19" ht="15.5" x14ac:dyDescent="0.35">
      <c r="L21" s="18" t="s">
        <v>13</v>
      </c>
      <c r="M21" s="18">
        <f>F2</f>
        <v>700</v>
      </c>
      <c r="N21" s="57"/>
      <c r="O21" s="2">
        <v>5</v>
      </c>
      <c r="P21" s="185" t="s">
        <v>8</v>
      </c>
      <c r="Q21" s="185"/>
      <c r="R21" s="190">
        <v>0</v>
      </c>
      <c r="S21" s="190"/>
    </row>
    <row r="22" spans="2:19" ht="15.5" x14ac:dyDescent="0.35">
      <c r="B22" s="7"/>
      <c r="L22" s="18" t="s">
        <v>105</v>
      </c>
      <c r="M22" s="18">
        <v>2734</v>
      </c>
      <c r="N22" s="57"/>
      <c r="O22" s="2">
        <v>6</v>
      </c>
      <c r="P22" s="185" t="s">
        <v>125</v>
      </c>
      <c r="Q22" s="185"/>
      <c r="R22" s="190">
        <v>0</v>
      </c>
      <c r="S22" s="190"/>
    </row>
    <row r="23" spans="2:19" ht="15.5" x14ac:dyDescent="0.35">
      <c r="B23" s="7"/>
      <c r="L23" s="18"/>
      <c r="M23" s="18"/>
      <c r="N23" s="57"/>
      <c r="O23" s="2">
        <v>7</v>
      </c>
      <c r="P23" s="191" t="s">
        <v>7</v>
      </c>
      <c r="Q23" s="192"/>
      <c r="R23" s="190">
        <v>2550</v>
      </c>
      <c r="S23" s="190"/>
    </row>
    <row r="24" spans="2:19" ht="15.5" x14ac:dyDescent="0.35">
      <c r="B24" s="7"/>
      <c r="L24" s="18"/>
      <c r="M24" s="18"/>
      <c r="N24" s="57"/>
      <c r="O24" s="2">
        <v>8</v>
      </c>
      <c r="P24" s="191" t="s">
        <v>102</v>
      </c>
      <c r="Q24" s="192"/>
      <c r="R24" s="190">
        <v>267</v>
      </c>
      <c r="S24" s="190"/>
    </row>
    <row r="25" spans="2:19" ht="15.5" x14ac:dyDescent="0.35">
      <c r="B25" s="7"/>
      <c r="L25" s="18"/>
      <c r="M25" s="18"/>
      <c r="N25" s="57"/>
      <c r="O25" s="2">
        <v>9</v>
      </c>
      <c r="P25" s="191" t="s">
        <v>127</v>
      </c>
      <c r="Q25" s="192"/>
      <c r="R25" s="194">
        <v>0</v>
      </c>
      <c r="S25" s="195"/>
    </row>
    <row r="26" spans="2:19" ht="15.5" x14ac:dyDescent="0.35">
      <c r="B26" s="7"/>
      <c r="L26" s="18"/>
      <c r="M26" s="18"/>
      <c r="N26" s="57"/>
      <c r="O26" s="2">
        <v>10</v>
      </c>
      <c r="P26" s="191" t="s">
        <v>129</v>
      </c>
      <c r="Q26" s="192"/>
      <c r="R26" s="194">
        <v>340</v>
      </c>
      <c r="S26" s="195"/>
    </row>
    <row r="27" spans="2:19" ht="15.5" x14ac:dyDescent="0.35">
      <c r="B27" s="7"/>
      <c r="L27" s="18"/>
      <c r="M27" s="18"/>
      <c r="N27" s="57"/>
      <c r="O27" s="2"/>
      <c r="P27" s="190"/>
      <c r="Q27" s="190"/>
      <c r="R27" s="190"/>
      <c r="S27" s="190"/>
    </row>
    <row r="28" spans="2:19" ht="15.5" x14ac:dyDescent="0.35">
      <c r="B28" s="7"/>
      <c r="L28" s="18" t="s">
        <v>74</v>
      </c>
      <c r="M28" s="54">
        <f>SUM(M17:M23)</f>
        <v>31</v>
      </c>
      <c r="N28" s="56"/>
      <c r="O28" s="2"/>
      <c r="P28" s="188" t="s">
        <v>71</v>
      </c>
      <c r="Q28" s="188"/>
      <c r="R28" s="190">
        <f>SUM(R17:S27)</f>
        <v>10394</v>
      </c>
      <c r="S28" s="190"/>
    </row>
    <row r="29" spans="2:19" ht="15.5" x14ac:dyDescent="0.35">
      <c r="O29" s="2"/>
      <c r="P29" s="188" t="s">
        <v>70</v>
      </c>
      <c r="Q29" s="188"/>
      <c r="R29" s="190">
        <v>2734</v>
      </c>
      <c r="S29" s="190"/>
    </row>
    <row r="30" spans="2:19" ht="15.5" x14ac:dyDescent="0.35">
      <c r="O30" s="2"/>
      <c r="P30" s="189" t="s">
        <v>104</v>
      </c>
      <c r="Q30" s="189"/>
      <c r="R30" s="193">
        <f>SUM(R28:S29)</f>
        <v>13128</v>
      </c>
      <c r="S30" s="193"/>
    </row>
    <row r="32" spans="2:19" x14ac:dyDescent="0.35">
      <c r="S32">
        <v>29334</v>
      </c>
    </row>
  </sheetData>
  <mergeCells count="45">
    <mergeCell ref="P26:Q26"/>
    <mergeCell ref="R26:S26"/>
    <mergeCell ref="P30:Q30"/>
    <mergeCell ref="R30:S30"/>
    <mergeCell ref="P27:Q27"/>
    <mergeCell ref="R27:S27"/>
    <mergeCell ref="P28:Q28"/>
    <mergeCell ref="R28:S28"/>
    <mergeCell ref="P29:Q29"/>
    <mergeCell ref="R29:S29"/>
    <mergeCell ref="P23:Q23"/>
    <mergeCell ref="R23:S23"/>
    <mergeCell ref="P24:Q24"/>
    <mergeCell ref="R24:S24"/>
    <mergeCell ref="P25:Q25"/>
    <mergeCell ref="R25:S25"/>
    <mergeCell ref="P20:Q20"/>
    <mergeCell ref="R20:S20"/>
    <mergeCell ref="P21:Q21"/>
    <mergeCell ref="R21:S21"/>
    <mergeCell ref="P22:Q22"/>
    <mergeCell ref="R22:S22"/>
    <mergeCell ref="P17:Q17"/>
    <mergeCell ref="R17:S17"/>
    <mergeCell ref="P18:Q18"/>
    <mergeCell ref="R18:S18"/>
    <mergeCell ref="P19:Q19"/>
    <mergeCell ref="R19:S19"/>
    <mergeCell ref="L15:L16"/>
    <mergeCell ref="M15:M16"/>
    <mergeCell ref="O15:O16"/>
    <mergeCell ref="P15:S15"/>
    <mergeCell ref="P16:Q16"/>
    <mergeCell ref="R16:S16"/>
    <mergeCell ref="K15:K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F6B8-9991-41C4-B638-F02543E07339}">
  <dimension ref="A1:D30"/>
  <sheetViews>
    <sheetView tabSelected="1" zoomScale="70" zoomScaleNormal="70" workbookViewId="0">
      <selection activeCell="D2" sqref="D2"/>
    </sheetView>
  </sheetViews>
  <sheetFormatPr defaultRowHeight="14.5" x14ac:dyDescent="0.35"/>
  <cols>
    <col min="1" max="1" width="9.90625" bestFit="1" customWidth="1"/>
    <col min="2" max="2" width="10.453125" bestFit="1" customWidth="1"/>
    <col min="3" max="3" width="7.54296875" customWidth="1"/>
  </cols>
  <sheetData>
    <row r="1" spans="1:4" x14ac:dyDescent="0.35">
      <c r="A1" s="34" t="s">
        <v>75</v>
      </c>
      <c r="B1" s="34" t="s">
        <v>76</v>
      </c>
      <c r="C1" s="34" t="s">
        <v>77</v>
      </c>
      <c r="D1" s="34" t="s">
        <v>113</v>
      </c>
    </row>
    <row r="2" spans="1:4" x14ac:dyDescent="0.35">
      <c r="A2" s="22" t="s">
        <v>84</v>
      </c>
      <c r="B2" t="s">
        <v>85</v>
      </c>
      <c r="C2">
        <v>12000</v>
      </c>
      <c r="D2" t="s">
        <v>6</v>
      </c>
    </row>
    <row r="3" spans="1:4" x14ac:dyDescent="0.35">
      <c r="A3" s="22" t="s">
        <v>83</v>
      </c>
      <c r="B3" t="s">
        <v>86</v>
      </c>
      <c r="C3">
        <v>12000</v>
      </c>
      <c r="D3" t="s">
        <v>6</v>
      </c>
    </row>
    <row r="4" spans="1:4" x14ac:dyDescent="0.35">
      <c r="A4" s="22" t="s">
        <v>78</v>
      </c>
      <c r="B4" t="s">
        <v>79</v>
      </c>
      <c r="C4">
        <v>12000</v>
      </c>
      <c r="D4" t="s">
        <v>6</v>
      </c>
    </row>
    <row r="5" spans="1:4" x14ac:dyDescent="0.35">
      <c r="A5" s="22" t="s">
        <v>80</v>
      </c>
      <c r="B5" t="s">
        <v>81</v>
      </c>
      <c r="C5">
        <v>12000</v>
      </c>
      <c r="D5" t="s">
        <v>6</v>
      </c>
    </row>
    <row r="6" spans="1:4" x14ac:dyDescent="0.35">
      <c r="A6" s="22" t="s">
        <v>82</v>
      </c>
      <c r="B6" s="55">
        <v>44835</v>
      </c>
      <c r="C6">
        <v>12000</v>
      </c>
      <c r="D6" t="s">
        <v>53</v>
      </c>
    </row>
    <row r="7" spans="1:4" x14ac:dyDescent="0.35">
      <c r="A7" s="22" t="s">
        <v>87</v>
      </c>
      <c r="B7" t="s">
        <v>97</v>
      </c>
      <c r="C7">
        <v>12000</v>
      </c>
      <c r="D7" t="s">
        <v>53</v>
      </c>
    </row>
    <row r="8" spans="1:4" x14ac:dyDescent="0.35">
      <c r="A8" s="22" t="s">
        <v>88</v>
      </c>
      <c r="B8" t="s">
        <v>98</v>
      </c>
      <c r="C8">
        <v>12000</v>
      </c>
      <c r="D8" t="s">
        <v>53</v>
      </c>
    </row>
    <row r="9" spans="1:4" x14ac:dyDescent="0.35">
      <c r="A9" s="22" t="s">
        <v>89</v>
      </c>
      <c r="B9" s="55">
        <v>44540</v>
      </c>
      <c r="C9">
        <v>12000</v>
      </c>
      <c r="D9" t="s">
        <v>53</v>
      </c>
    </row>
    <row r="10" spans="1:4" x14ac:dyDescent="0.35">
      <c r="A10" s="22" t="s">
        <v>93</v>
      </c>
      <c r="B10" t="s">
        <v>96</v>
      </c>
      <c r="C10">
        <v>15000</v>
      </c>
      <c r="D10" t="s">
        <v>38</v>
      </c>
    </row>
    <row r="11" spans="1:4" x14ac:dyDescent="0.35">
      <c r="A11" s="22" t="s">
        <v>92</v>
      </c>
      <c r="B11" s="55">
        <v>44416</v>
      </c>
      <c r="C11">
        <v>15000</v>
      </c>
      <c r="D11" t="s">
        <v>38</v>
      </c>
    </row>
    <row r="12" spans="1:4" x14ac:dyDescent="0.35">
      <c r="A12" s="22" t="s">
        <v>91</v>
      </c>
      <c r="B12" t="s">
        <v>95</v>
      </c>
      <c r="C12">
        <v>15000</v>
      </c>
      <c r="D12" t="s">
        <v>38</v>
      </c>
    </row>
    <row r="13" spans="1:4" x14ac:dyDescent="0.35">
      <c r="A13" s="22" t="s">
        <v>90</v>
      </c>
      <c r="B13" t="s">
        <v>94</v>
      </c>
      <c r="C13">
        <v>15000</v>
      </c>
      <c r="D13" t="s">
        <v>38</v>
      </c>
    </row>
    <row r="14" spans="1:4" x14ac:dyDescent="0.35">
      <c r="A14" s="22" t="s">
        <v>84</v>
      </c>
      <c r="B14" s="55">
        <v>44321</v>
      </c>
      <c r="C14">
        <v>15000</v>
      </c>
      <c r="D14" t="s">
        <v>38</v>
      </c>
    </row>
    <row r="15" spans="1:4" x14ac:dyDescent="0.35">
      <c r="A15" s="22" t="s">
        <v>83</v>
      </c>
      <c r="B15" s="55">
        <v>44412</v>
      </c>
      <c r="C15">
        <v>15000</v>
      </c>
      <c r="D15" t="s">
        <v>38</v>
      </c>
    </row>
    <row r="16" spans="1:4" x14ac:dyDescent="0.35">
      <c r="A16" s="22" t="s">
        <v>78</v>
      </c>
      <c r="B16" s="55">
        <v>44442</v>
      </c>
      <c r="C16">
        <v>15000</v>
      </c>
      <c r="D16" t="s">
        <v>53</v>
      </c>
    </row>
    <row r="17" spans="1:4" x14ac:dyDescent="0.35">
      <c r="A17" s="22" t="s">
        <v>80</v>
      </c>
      <c r="B17" t="s">
        <v>100</v>
      </c>
      <c r="C17">
        <v>15000</v>
      </c>
      <c r="D17" t="s">
        <v>53</v>
      </c>
    </row>
    <row r="18" spans="1:4" x14ac:dyDescent="0.35">
      <c r="A18" s="22" t="s">
        <v>82</v>
      </c>
      <c r="B18" s="55">
        <v>44501</v>
      </c>
      <c r="C18">
        <v>15000</v>
      </c>
      <c r="D18" t="s">
        <v>53</v>
      </c>
    </row>
    <row r="19" spans="1:4" x14ac:dyDescent="0.35">
      <c r="A19" s="22" t="s">
        <v>87</v>
      </c>
      <c r="B19" t="s">
        <v>99</v>
      </c>
      <c r="C19">
        <v>15000</v>
      </c>
      <c r="D19" t="s">
        <v>53</v>
      </c>
    </row>
    <row r="20" spans="1:4" x14ac:dyDescent="0.35">
      <c r="A20" s="22" t="s">
        <v>88</v>
      </c>
      <c r="B20" s="55">
        <v>43993</v>
      </c>
      <c r="C20">
        <v>15000</v>
      </c>
      <c r="D20" t="s">
        <v>53</v>
      </c>
    </row>
    <row r="21" spans="1:4" x14ac:dyDescent="0.35">
      <c r="A21" s="22" t="s">
        <v>89</v>
      </c>
      <c r="B21" s="55">
        <v>44114</v>
      </c>
      <c r="C21">
        <v>11500</v>
      </c>
      <c r="D21" t="s">
        <v>53</v>
      </c>
    </row>
    <row r="22" spans="1:4" x14ac:dyDescent="0.35">
      <c r="A22" s="22" t="s">
        <v>93</v>
      </c>
      <c r="B22" s="55">
        <v>44021</v>
      </c>
      <c r="C22">
        <v>12500</v>
      </c>
      <c r="D22" t="s">
        <v>53</v>
      </c>
    </row>
    <row r="23" spans="1:4" x14ac:dyDescent="0.35">
      <c r="A23" s="22" t="s">
        <v>92</v>
      </c>
      <c r="B23" s="55">
        <v>44051</v>
      </c>
      <c r="C23">
        <v>12000</v>
      </c>
      <c r="D23" t="s">
        <v>53</v>
      </c>
    </row>
    <row r="24" spans="1:4" x14ac:dyDescent="0.35">
      <c r="A24" s="22" t="s">
        <v>91</v>
      </c>
      <c r="B24" s="55">
        <v>44019</v>
      </c>
      <c r="C24">
        <v>12000</v>
      </c>
      <c r="D24" t="s">
        <v>53</v>
      </c>
    </row>
    <row r="25" spans="1:4" x14ac:dyDescent="0.35">
      <c r="A25" s="22" t="s">
        <v>90</v>
      </c>
      <c r="B25" s="55">
        <v>43957</v>
      </c>
      <c r="C25">
        <v>12000</v>
      </c>
      <c r="D25" t="s">
        <v>53</v>
      </c>
    </row>
    <row r="26" spans="1:4" x14ac:dyDescent="0.35">
      <c r="A26" s="22" t="s">
        <v>84</v>
      </c>
      <c r="B26" s="55">
        <v>44109</v>
      </c>
      <c r="C26">
        <v>12000</v>
      </c>
      <c r="D26" t="s">
        <v>53</v>
      </c>
    </row>
    <row r="27" spans="1:4" x14ac:dyDescent="0.35">
      <c r="A27" s="22" t="s">
        <v>83</v>
      </c>
      <c r="B27" s="55">
        <v>44139</v>
      </c>
      <c r="C27">
        <v>19500</v>
      </c>
      <c r="D27" t="s">
        <v>53</v>
      </c>
    </row>
    <row r="28" spans="1:4" x14ac:dyDescent="0.35">
      <c r="A28" s="22" t="s">
        <v>78</v>
      </c>
      <c r="B28" s="55">
        <v>43985</v>
      </c>
      <c r="C28">
        <v>19500</v>
      </c>
      <c r="D28" t="s">
        <v>53</v>
      </c>
    </row>
    <row r="29" spans="1:4" x14ac:dyDescent="0.35">
      <c r="A29" s="22" t="s">
        <v>80</v>
      </c>
      <c r="B29" s="55">
        <v>43923</v>
      </c>
      <c r="C29">
        <v>19500</v>
      </c>
      <c r="D29" t="s">
        <v>53</v>
      </c>
    </row>
    <row r="30" spans="1:4" x14ac:dyDescent="0.35">
      <c r="A30" t="s">
        <v>82</v>
      </c>
      <c r="B30" s="55">
        <v>43862</v>
      </c>
      <c r="C30">
        <v>19000</v>
      </c>
      <c r="D30" t="s">
        <v>53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5768-58BA-43A6-97C0-244CD01C79F9}">
  <dimension ref="A1:I19"/>
  <sheetViews>
    <sheetView topLeftCell="A4" zoomScaleNormal="100" workbookViewId="0">
      <selection activeCell="J15" sqref="J15"/>
    </sheetView>
  </sheetViews>
  <sheetFormatPr defaultRowHeight="14.5" x14ac:dyDescent="0.35"/>
  <cols>
    <col min="2" max="2" width="4.6328125" bestFit="1" customWidth="1"/>
    <col min="3" max="3" width="15.7265625" bestFit="1" customWidth="1"/>
    <col min="4" max="4" width="15.08984375" customWidth="1"/>
    <col min="5" max="5" width="10.08984375" bestFit="1" customWidth="1"/>
    <col min="6" max="6" width="11.6328125" customWidth="1"/>
    <col min="7" max="7" width="12.90625" style="139" customWidth="1"/>
    <col min="8" max="8" width="22.08984375" bestFit="1" customWidth="1"/>
    <col min="9" max="10" width="10.08984375" bestFit="1" customWidth="1"/>
  </cols>
  <sheetData>
    <row r="1" spans="1:9" s="120" customFormat="1" ht="29" x14ac:dyDescent="0.35">
      <c r="B1" s="129" t="s">
        <v>0</v>
      </c>
      <c r="C1" s="129" t="s">
        <v>113</v>
      </c>
      <c r="D1" s="129" t="s">
        <v>140</v>
      </c>
      <c r="E1" s="129" t="s">
        <v>138</v>
      </c>
      <c r="F1" s="129" t="s">
        <v>139</v>
      </c>
      <c r="G1" s="145" t="s">
        <v>166</v>
      </c>
    </row>
    <row r="2" spans="1:9" x14ac:dyDescent="0.35">
      <c r="B2" s="125">
        <v>1</v>
      </c>
      <c r="C2" s="2" t="s">
        <v>66</v>
      </c>
      <c r="D2" s="127">
        <v>20000</v>
      </c>
      <c r="E2" s="127">
        <v>2500</v>
      </c>
      <c r="F2" s="130">
        <f>D2-E2</f>
        <v>17500</v>
      </c>
      <c r="G2" s="143">
        <v>17500</v>
      </c>
      <c r="H2" s="154" t="s">
        <v>172</v>
      </c>
    </row>
    <row r="3" spans="1:9" x14ac:dyDescent="0.35">
      <c r="B3" s="125">
        <v>2</v>
      </c>
      <c r="C3" s="2" t="s">
        <v>116</v>
      </c>
      <c r="D3" s="127">
        <v>10000</v>
      </c>
      <c r="E3" s="127">
        <v>2500</v>
      </c>
      <c r="F3" s="130">
        <f t="shared" ref="F3:F8" si="0">D3-E3</f>
        <v>7500</v>
      </c>
      <c r="G3" s="144">
        <v>7500</v>
      </c>
      <c r="H3" s="154" t="s">
        <v>172</v>
      </c>
    </row>
    <row r="4" spans="1:9" x14ac:dyDescent="0.35">
      <c r="B4" s="125">
        <v>3</v>
      </c>
      <c r="C4" s="2" t="s">
        <v>115</v>
      </c>
      <c r="D4" s="127">
        <v>10000</v>
      </c>
      <c r="E4" s="127">
        <v>2500</v>
      </c>
      <c r="F4" s="130">
        <f>D4-E4</f>
        <v>7500</v>
      </c>
      <c r="G4" s="135">
        <v>7500</v>
      </c>
      <c r="H4" s="154" t="s">
        <v>172</v>
      </c>
    </row>
    <row r="5" spans="1:9" x14ac:dyDescent="0.35">
      <c r="B5" s="125">
        <v>4</v>
      </c>
      <c r="C5" s="2" t="s">
        <v>143</v>
      </c>
      <c r="D5" s="127">
        <v>10000</v>
      </c>
      <c r="E5" s="127">
        <v>10000</v>
      </c>
      <c r="F5" s="127" t="s">
        <v>175</v>
      </c>
      <c r="G5" s="147">
        <v>10000</v>
      </c>
      <c r="H5" s="154" t="s">
        <v>172</v>
      </c>
    </row>
    <row r="6" spans="1:9" ht="14.5" customHeight="1" x14ac:dyDescent="0.35">
      <c r="A6" s="126"/>
      <c r="B6" s="125">
        <v>5</v>
      </c>
      <c r="C6" s="2" t="s">
        <v>114</v>
      </c>
      <c r="D6" s="127">
        <v>10000</v>
      </c>
      <c r="E6" s="146">
        <v>2500</v>
      </c>
      <c r="F6" s="127">
        <v>7500</v>
      </c>
      <c r="G6" s="140"/>
    </row>
    <row r="7" spans="1:9" x14ac:dyDescent="0.35">
      <c r="B7" s="125">
        <v>6</v>
      </c>
      <c r="C7" s="2" t="s">
        <v>62</v>
      </c>
      <c r="D7" s="127">
        <v>10000</v>
      </c>
      <c r="E7" s="127">
        <v>2500</v>
      </c>
      <c r="F7" s="127">
        <f t="shared" si="0"/>
        <v>7500</v>
      </c>
    </row>
    <row r="8" spans="1:9" x14ac:dyDescent="0.35">
      <c r="B8" s="125">
        <v>7</v>
      </c>
      <c r="C8" s="2" t="s">
        <v>163</v>
      </c>
      <c r="D8" s="127">
        <v>5000</v>
      </c>
      <c r="E8" s="127">
        <v>2500</v>
      </c>
      <c r="F8" s="127">
        <f t="shared" si="0"/>
        <v>2500</v>
      </c>
      <c r="G8" s="135">
        <v>2500</v>
      </c>
      <c r="H8" s="154" t="s">
        <v>172</v>
      </c>
    </row>
    <row r="9" spans="1:9" x14ac:dyDescent="0.35">
      <c r="B9" s="2"/>
      <c r="C9" s="131" t="s">
        <v>142</v>
      </c>
      <c r="D9" s="132">
        <f>SUM(D2:D8)</f>
        <v>75000</v>
      </c>
      <c r="E9" s="132">
        <f>SUM(E2:E8)</f>
        <v>25000</v>
      </c>
      <c r="F9" s="132">
        <f>SUM(F2:F8)</f>
        <v>50000</v>
      </c>
      <c r="G9" s="141">
        <f>SUM(G2:G8)</f>
        <v>45000</v>
      </c>
    </row>
    <row r="10" spans="1:9" s="120" customFormat="1" ht="28" customHeight="1" x14ac:dyDescent="0.35">
      <c r="B10" s="129" t="s">
        <v>0</v>
      </c>
      <c r="C10" s="129" t="s">
        <v>113</v>
      </c>
      <c r="D10" s="129" t="s">
        <v>141</v>
      </c>
      <c r="E10" s="129" t="s">
        <v>138</v>
      </c>
      <c r="F10" s="129" t="s">
        <v>139</v>
      </c>
      <c r="G10" s="145" t="s">
        <v>165</v>
      </c>
      <c r="H10" s="199" t="s">
        <v>159</v>
      </c>
      <c r="I10" s="199"/>
    </row>
    <row r="11" spans="1:9" x14ac:dyDescent="0.35">
      <c r="B11" s="125">
        <v>8</v>
      </c>
      <c r="C11" s="2" t="s">
        <v>137</v>
      </c>
      <c r="D11" s="127">
        <v>6500</v>
      </c>
      <c r="E11" s="127">
        <v>2500</v>
      </c>
      <c r="F11" s="127">
        <f>D11-E11</f>
        <v>4000</v>
      </c>
      <c r="G11" s="142">
        <v>6500</v>
      </c>
      <c r="H11" s="2" t="s">
        <v>160</v>
      </c>
      <c r="I11" s="127">
        <f>D17</f>
        <v>35000</v>
      </c>
    </row>
    <row r="12" spans="1:9" x14ac:dyDescent="0.35">
      <c r="B12" s="125">
        <v>9</v>
      </c>
      <c r="C12" s="2" t="s">
        <v>34</v>
      </c>
      <c r="D12" s="127">
        <v>6500</v>
      </c>
      <c r="E12" s="127">
        <v>2500</v>
      </c>
      <c r="F12" s="127">
        <f>D12-E12</f>
        <v>4000</v>
      </c>
      <c r="G12" s="142">
        <v>6500</v>
      </c>
      <c r="H12" s="2" t="s">
        <v>161</v>
      </c>
      <c r="I12" s="127">
        <v>35000</v>
      </c>
    </row>
    <row r="13" spans="1:9" x14ac:dyDescent="0.35">
      <c r="B13" s="125">
        <v>10</v>
      </c>
      <c r="C13" s="2" t="s">
        <v>126</v>
      </c>
      <c r="D13" s="127">
        <v>6500</v>
      </c>
      <c r="E13" s="127">
        <v>2500</v>
      </c>
      <c r="F13" s="127">
        <f>D13-E13</f>
        <v>4000</v>
      </c>
      <c r="G13" s="142">
        <v>6500</v>
      </c>
      <c r="H13" s="125" t="s">
        <v>158</v>
      </c>
      <c r="I13" s="128">
        <v>0</v>
      </c>
    </row>
    <row r="14" spans="1:9" x14ac:dyDescent="0.35">
      <c r="B14" s="125">
        <v>11</v>
      </c>
      <c r="C14" s="2" t="s">
        <v>128</v>
      </c>
      <c r="D14" s="127">
        <v>6500</v>
      </c>
      <c r="E14" s="127">
        <v>2500</v>
      </c>
      <c r="F14" s="127">
        <f>D14-E14</f>
        <v>4000</v>
      </c>
      <c r="G14" s="153">
        <v>6500</v>
      </c>
      <c r="H14" s="119"/>
    </row>
    <row r="15" spans="1:9" x14ac:dyDescent="0.35">
      <c r="B15" s="156">
        <v>12</v>
      </c>
      <c r="C15" s="2" t="s">
        <v>130</v>
      </c>
      <c r="D15" s="127">
        <v>6500</v>
      </c>
      <c r="E15" s="127">
        <v>2500</v>
      </c>
      <c r="F15" s="127">
        <v>4000</v>
      </c>
      <c r="G15" s="153">
        <v>6500</v>
      </c>
      <c r="H15" s="119"/>
    </row>
    <row r="16" spans="1:9" x14ac:dyDescent="0.35">
      <c r="B16" s="125">
        <v>13</v>
      </c>
      <c r="C16" s="2" t="s">
        <v>174</v>
      </c>
      <c r="D16" s="127">
        <v>2500</v>
      </c>
      <c r="E16" s="127">
        <v>0</v>
      </c>
      <c r="F16" s="127">
        <f>D16-E16</f>
        <v>2500</v>
      </c>
      <c r="G16" s="153">
        <v>2500</v>
      </c>
      <c r="H16" s="157" t="s">
        <v>172</v>
      </c>
    </row>
    <row r="17" spans="2:8" x14ac:dyDescent="0.35">
      <c r="B17" s="148"/>
      <c r="C17" s="131" t="s">
        <v>142</v>
      </c>
      <c r="D17" s="132">
        <f>SUM(D11:D16)</f>
        <v>35000</v>
      </c>
      <c r="E17" s="132">
        <f>SUM(E11:E16)</f>
        <v>12500</v>
      </c>
      <c r="F17" s="132">
        <f>SUM(F11:F16)</f>
        <v>22500</v>
      </c>
      <c r="G17" s="139">
        <v>35000</v>
      </c>
      <c r="H17" s="119"/>
    </row>
    <row r="18" spans="2:8" x14ac:dyDescent="0.35">
      <c r="B18" s="124"/>
      <c r="D18" s="119"/>
      <c r="E18" s="119"/>
      <c r="F18" s="119"/>
    </row>
    <row r="19" spans="2:8" x14ac:dyDescent="0.35">
      <c r="B19" s="124">
        <v>13</v>
      </c>
      <c r="C19" t="s">
        <v>145</v>
      </c>
      <c r="D19" s="119" t="s">
        <v>162</v>
      </c>
      <c r="E19" s="119" t="s">
        <v>162</v>
      </c>
      <c r="F19" s="119" t="s">
        <v>162</v>
      </c>
    </row>
  </sheetData>
  <mergeCells count="1">
    <mergeCell ref="H10:I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1DCF-F2F4-42E2-B7E0-00AA953FE36B}">
  <dimension ref="A1:S25"/>
  <sheetViews>
    <sheetView zoomScale="80" zoomScaleNormal="80" workbookViewId="0">
      <selection activeCell="H20" sqref="H20"/>
    </sheetView>
  </sheetViews>
  <sheetFormatPr defaultRowHeight="14.5" x14ac:dyDescent="0.35"/>
  <cols>
    <col min="1" max="1" width="5.453125" style="7" customWidth="1"/>
    <col min="2" max="2" width="11.453125" bestFit="1" customWidth="1"/>
    <col min="3" max="3" width="12.36328125" bestFit="1" customWidth="1"/>
    <col min="4" max="4" width="8.08984375" bestFit="1" customWidth="1"/>
    <col min="5" max="5" width="6.7265625" bestFit="1" customWidth="1"/>
    <col min="6" max="6" width="7.54296875" bestFit="1" customWidth="1"/>
    <col min="7" max="7" width="8.08984375" style="7" bestFit="1" customWidth="1"/>
    <col min="8" max="8" width="10.81640625" style="7" customWidth="1"/>
    <col min="9" max="9" width="9.90625" bestFit="1" customWidth="1"/>
    <col min="10" max="10" width="12.90625" style="7" bestFit="1" customWidth="1"/>
    <col min="11" max="11" width="14.6328125" style="91" customWidth="1"/>
    <col min="12" max="12" width="5.453125" customWidth="1"/>
    <col min="13" max="13" width="10.6328125" bestFit="1" customWidth="1"/>
    <col min="14" max="14" width="14" bestFit="1" customWidth="1"/>
    <col min="15" max="15" width="10.81640625" bestFit="1" customWidth="1"/>
    <col min="19" max="19" width="10.7265625" bestFit="1" customWidth="1"/>
  </cols>
  <sheetData>
    <row r="1" spans="1:19" s="48" customFormat="1" ht="47.5" customHeight="1" x14ac:dyDescent="0.35">
      <c r="A1" s="87" t="s">
        <v>0</v>
      </c>
      <c r="B1" s="88" t="s">
        <v>1</v>
      </c>
      <c r="C1" s="88" t="s">
        <v>2</v>
      </c>
      <c r="D1" s="88" t="s">
        <v>3</v>
      </c>
      <c r="E1" s="88" t="s">
        <v>19</v>
      </c>
      <c r="F1" s="88" t="s">
        <v>13</v>
      </c>
      <c r="G1" s="89" t="s">
        <v>25</v>
      </c>
      <c r="H1" s="89" t="s">
        <v>136</v>
      </c>
      <c r="I1" s="88" t="s">
        <v>135</v>
      </c>
      <c r="J1" s="89" t="s">
        <v>33</v>
      </c>
      <c r="K1" s="90" t="s">
        <v>24</v>
      </c>
      <c r="M1" s="104"/>
      <c r="N1" s="105" t="s">
        <v>2</v>
      </c>
      <c r="O1" s="105" t="s">
        <v>3</v>
      </c>
      <c r="P1" s="105" t="s">
        <v>19</v>
      </c>
      <c r="Q1" s="105" t="s">
        <v>13</v>
      </c>
      <c r="R1" s="106" t="s">
        <v>5</v>
      </c>
      <c r="S1" s="107" t="s">
        <v>136</v>
      </c>
    </row>
    <row r="2" spans="1:19" ht="18.5" x14ac:dyDescent="0.45">
      <c r="A2" s="29">
        <v>1</v>
      </c>
      <c r="B2" s="2" t="s">
        <v>126</v>
      </c>
      <c r="C2" s="4">
        <f t="shared" ref="C2:C11" si="0">$N$4</f>
        <v>340</v>
      </c>
      <c r="D2" s="4">
        <f>$O$4</f>
        <v>2055.5555555555557</v>
      </c>
      <c r="E2" s="4">
        <f t="shared" ref="E2:E8" si="1">$P$4</f>
        <v>428.57142857142856</v>
      </c>
      <c r="F2" s="4">
        <f t="shared" ref="F2:F8" si="2">$Q$4</f>
        <v>100</v>
      </c>
      <c r="G2" s="9">
        <f t="shared" ref="G2:G8" si="3">$R$4</f>
        <v>1889</v>
      </c>
      <c r="H2" s="9">
        <f>$S$4</f>
        <v>411.11111111111109</v>
      </c>
      <c r="I2" s="4">
        <f t="shared" ref="I2:I11" si="4">SUM(C2:H2)</f>
        <v>5224.2380952380954</v>
      </c>
      <c r="J2" s="8">
        <f>P10</f>
        <v>4254</v>
      </c>
      <c r="K2" s="114">
        <f t="shared" ref="K2:K11" si="5">I2-J2</f>
        <v>970.23809523809541</v>
      </c>
      <c r="M2" s="108" t="s">
        <v>118</v>
      </c>
      <c r="N2" s="68">
        <v>10</v>
      </c>
      <c r="O2" s="68">
        <v>9</v>
      </c>
      <c r="P2" s="68">
        <v>7</v>
      </c>
      <c r="Q2" s="68">
        <v>7</v>
      </c>
      <c r="R2" s="68">
        <v>7</v>
      </c>
      <c r="S2" s="109">
        <v>9</v>
      </c>
    </row>
    <row r="3" spans="1:19" ht="18.5" x14ac:dyDescent="0.45">
      <c r="A3" s="29">
        <v>2</v>
      </c>
      <c r="B3" s="2" t="s">
        <v>11</v>
      </c>
      <c r="C3" s="4">
        <f t="shared" si="0"/>
        <v>340</v>
      </c>
      <c r="D3" s="4">
        <f>$O$4</f>
        <v>2055.5555555555557</v>
      </c>
      <c r="E3" s="4">
        <f t="shared" si="1"/>
        <v>428.57142857142856</v>
      </c>
      <c r="F3" s="4">
        <f t="shared" si="2"/>
        <v>100</v>
      </c>
      <c r="G3" s="9">
        <f t="shared" si="3"/>
        <v>1889</v>
      </c>
      <c r="H3" s="9">
        <f t="shared" ref="H3:H11" si="6">$S$4</f>
        <v>411.11111111111109</v>
      </c>
      <c r="I3" s="4">
        <f t="shared" si="4"/>
        <v>5224.2380952380954</v>
      </c>
      <c r="J3" s="8">
        <f>P9</f>
        <v>2570</v>
      </c>
      <c r="K3" s="114">
        <f t="shared" si="5"/>
        <v>2654.2380952380954</v>
      </c>
      <c r="M3" s="108" t="s">
        <v>133</v>
      </c>
      <c r="N3" s="2">
        <v>3400</v>
      </c>
      <c r="O3" s="2">
        <v>18500</v>
      </c>
      <c r="P3" s="2">
        <v>3000</v>
      </c>
      <c r="Q3" s="2">
        <v>700</v>
      </c>
      <c r="R3" s="2">
        <f>P20</f>
        <v>13223</v>
      </c>
      <c r="S3" s="110">
        <v>3700</v>
      </c>
    </row>
    <row r="4" spans="1:19" ht="19" thickBot="1" x14ac:dyDescent="0.5">
      <c r="A4" s="29">
        <v>3</v>
      </c>
      <c r="B4" s="2" t="s">
        <v>128</v>
      </c>
      <c r="C4" s="4">
        <f t="shared" si="0"/>
        <v>340</v>
      </c>
      <c r="D4" s="4">
        <f>$O$4</f>
        <v>2055.5555555555557</v>
      </c>
      <c r="E4" s="4">
        <f t="shared" si="1"/>
        <v>428.57142857142856</v>
      </c>
      <c r="F4" s="4">
        <f t="shared" si="2"/>
        <v>100</v>
      </c>
      <c r="G4" s="9">
        <f t="shared" si="3"/>
        <v>1889</v>
      </c>
      <c r="H4" s="9">
        <f t="shared" si="6"/>
        <v>411.11111111111109</v>
      </c>
      <c r="I4" s="4">
        <f t="shared" si="4"/>
        <v>5224.2380952380954</v>
      </c>
      <c r="J4" s="8">
        <f>P11</f>
        <v>853</v>
      </c>
      <c r="K4" s="114">
        <f t="shared" si="5"/>
        <v>4371.2380952380954</v>
      </c>
      <c r="M4" s="111" t="s">
        <v>134</v>
      </c>
      <c r="N4" s="112">
        <f t="shared" ref="N4:S4" si="7">N3/N2</f>
        <v>340</v>
      </c>
      <c r="O4" s="112">
        <f t="shared" si="7"/>
        <v>2055.5555555555557</v>
      </c>
      <c r="P4" s="112">
        <f t="shared" si="7"/>
        <v>428.57142857142856</v>
      </c>
      <c r="Q4" s="112">
        <f t="shared" si="7"/>
        <v>100</v>
      </c>
      <c r="R4" s="112">
        <f t="shared" si="7"/>
        <v>1889</v>
      </c>
      <c r="S4" s="116">
        <f t="shared" si="7"/>
        <v>411.11111111111109</v>
      </c>
    </row>
    <row r="5" spans="1:19" ht="19" thickBot="1" x14ac:dyDescent="0.5">
      <c r="A5" s="29">
        <v>4</v>
      </c>
      <c r="B5" s="2" t="s">
        <v>127</v>
      </c>
      <c r="C5" s="4">
        <f t="shared" si="0"/>
        <v>340</v>
      </c>
      <c r="D5" s="4">
        <f>$O$4</f>
        <v>2055.5555555555557</v>
      </c>
      <c r="E5" s="4">
        <f t="shared" si="1"/>
        <v>428.57142857142856</v>
      </c>
      <c r="F5" s="4">
        <f t="shared" si="2"/>
        <v>100</v>
      </c>
      <c r="G5" s="9">
        <f t="shared" si="3"/>
        <v>1889</v>
      </c>
      <c r="H5" s="9">
        <f t="shared" si="6"/>
        <v>411.11111111111109</v>
      </c>
      <c r="I5" s="4">
        <f t="shared" si="4"/>
        <v>5224.2380952380954</v>
      </c>
      <c r="J5" s="8">
        <f>P16</f>
        <v>0</v>
      </c>
      <c r="K5" s="114">
        <f t="shared" si="5"/>
        <v>5224.2380952380954</v>
      </c>
    </row>
    <row r="6" spans="1:19" ht="18.5" x14ac:dyDescent="0.45">
      <c r="A6" s="92">
        <v>5</v>
      </c>
      <c r="B6" s="93" t="s">
        <v>8</v>
      </c>
      <c r="C6" s="94">
        <f t="shared" si="0"/>
        <v>340</v>
      </c>
      <c r="D6" s="94">
        <v>1000</v>
      </c>
      <c r="E6" s="94">
        <f t="shared" si="1"/>
        <v>428.57142857142856</v>
      </c>
      <c r="F6" s="94">
        <f t="shared" si="2"/>
        <v>100</v>
      </c>
      <c r="G6" s="95">
        <f t="shared" si="3"/>
        <v>1889</v>
      </c>
      <c r="H6" s="95">
        <f>$S$4</f>
        <v>411.11111111111109</v>
      </c>
      <c r="I6" s="94">
        <f t="shared" si="4"/>
        <v>4168.6825396825398</v>
      </c>
      <c r="J6" s="96">
        <f>P12</f>
        <v>0</v>
      </c>
      <c r="K6" s="97">
        <f t="shared" si="5"/>
        <v>4168.6825396825398</v>
      </c>
      <c r="M6" s="204" t="s">
        <v>0</v>
      </c>
      <c r="N6" s="206" t="s">
        <v>69</v>
      </c>
      <c r="O6" s="207"/>
      <c r="P6" s="207"/>
      <c r="Q6" s="208"/>
    </row>
    <row r="7" spans="1:19" ht="18.5" x14ac:dyDescent="0.45">
      <c r="A7" s="29">
        <v>6</v>
      </c>
      <c r="B7" s="2" t="s">
        <v>131</v>
      </c>
      <c r="C7" s="4">
        <f t="shared" si="0"/>
        <v>340</v>
      </c>
      <c r="D7" s="4">
        <f>$O$4</f>
        <v>2055.5555555555557</v>
      </c>
      <c r="E7" s="4">
        <f t="shared" si="1"/>
        <v>428.57142857142856</v>
      </c>
      <c r="F7" s="4">
        <f t="shared" si="2"/>
        <v>100</v>
      </c>
      <c r="G7" s="9">
        <f t="shared" si="3"/>
        <v>1889</v>
      </c>
      <c r="H7" s="9">
        <f t="shared" si="6"/>
        <v>411.11111111111109</v>
      </c>
      <c r="I7" s="4">
        <f t="shared" si="4"/>
        <v>5224.2380952380954</v>
      </c>
      <c r="J7" s="8">
        <f>P8</f>
        <v>355</v>
      </c>
      <c r="K7" s="114">
        <f t="shared" si="5"/>
        <v>4869.2380952380954</v>
      </c>
      <c r="M7" s="205"/>
      <c r="N7" s="209" t="s">
        <v>1</v>
      </c>
      <c r="O7" s="210"/>
      <c r="P7" s="209" t="s">
        <v>103</v>
      </c>
      <c r="Q7" s="211"/>
    </row>
    <row r="8" spans="1:19" ht="18.5" x14ac:dyDescent="0.45">
      <c r="A8" s="29">
        <v>7</v>
      </c>
      <c r="B8" s="2" t="s">
        <v>125</v>
      </c>
      <c r="C8" s="4">
        <f t="shared" si="0"/>
        <v>340</v>
      </c>
      <c r="D8" s="4">
        <f>$O$4</f>
        <v>2055.5555555555557</v>
      </c>
      <c r="E8" s="4">
        <f t="shared" si="1"/>
        <v>428.57142857142856</v>
      </c>
      <c r="F8" s="4">
        <f t="shared" si="2"/>
        <v>100</v>
      </c>
      <c r="G8" s="9">
        <f t="shared" si="3"/>
        <v>1889</v>
      </c>
      <c r="H8" s="9">
        <f t="shared" si="6"/>
        <v>411.11111111111109</v>
      </c>
      <c r="I8" s="4">
        <f t="shared" si="4"/>
        <v>5224.2380952380954</v>
      </c>
      <c r="J8" s="8">
        <f>P13</f>
        <v>0</v>
      </c>
      <c r="K8" s="114">
        <f t="shared" si="5"/>
        <v>5224.2380952380954</v>
      </c>
      <c r="M8" s="113">
        <v>1</v>
      </c>
      <c r="N8" s="191" t="s">
        <v>130</v>
      </c>
      <c r="O8" s="192"/>
      <c r="P8" s="194">
        <v>355</v>
      </c>
      <c r="Q8" s="201"/>
    </row>
    <row r="9" spans="1:19" ht="18.5" x14ac:dyDescent="0.45">
      <c r="A9" s="80">
        <v>8</v>
      </c>
      <c r="B9" s="3" t="s">
        <v>102</v>
      </c>
      <c r="C9" s="4">
        <f t="shared" si="0"/>
        <v>340</v>
      </c>
      <c r="D9" s="4">
        <f>$O$4</f>
        <v>2055.5555555555557</v>
      </c>
      <c r="E9" s="4">
        <v>0</v>
      </c>
      <c r="F9" s="4">
        <v>0</v>
      </c>
      <c r="G9" s="9">
        <v>0</v>
      </c>
      <c r="H9" s="9">
        <f t="shared" si="6"/>
        <v>411.11111111111109</v>
      </c>
      <c r="I9" s="4">
        <f t="shared" si="4"/>
        <v>2806.666666666667</v>
      </c>
      <c r="J9" s="8">
        <f>P15</f>
        <v>267</v>
      </c>
      <c r="K9" s="114">
        <f>I9-J9</f>
        <v>2539.666666666667</v>
      </c>
      <c r="M9" s="113">
        <v>2</v>
      </c>
      <c r="N9" s="191" t="s">
        <v>11</v>
      </c>
      <c r="O9" s="192"/>
      <c r="P9" s="194">
        <v>2570</v>
      </c>
      <c r="Q9" s="201"/>
    </row>
    <row r="10" spans="1:19" ht="18.5" x14ac:dyDescent="0.45">
      <c r="A10" s="29">
        <v>9</v>
      </c>
      <c r="B10" s="3" t="s">
        <v>132</v>
      </c>
      <c r="C10" s="4">
        <f t="shared" si="0"/>
        <v>340</v>
      </c>
      <c r="D10" s="4">
        <f>$O$4</f>
        <v>2055.5555555555557</v>
      </c>
      <c r="E10" s="4">
        <v>0</v>
      </c>
      <c r="F10" s="4">
        <v>0</v>
      </c>
      <c r="G10" s="9">
        <v>0</v>
      </c>
      <c r="H10" s="9">
        <v>0</v>
      </c>
      <c r="I10" s="4">
        <f t="shared" si="4"/>
        <v>2395.5555555555557</v>
      </c>
      <c r="J10" s="8">
        <f>P14</f>
        <v>1850</v>
      </c>
      <c r="K10" s="114">
        <f t="shared" si="5"/>
        <v>545.55555555555566</v>
      </c>
      <c r="M10" s="113">
        <v>3</v>
      </c>
      <c r="N10" s="191" t="s">
        <v>126</v>
      </c>
      <c r="O10" s="192"/>
      <c r="P10" s="194">
        <v>4254</v>
      </c>
      <c r="Q10" s="201"/>
    </row>
    <row r="11" spans="1:19" s="22" customFormat="1" ht="18.5" x14ac:dyDescent="0.45">
      <c r="A11" s="29">
        <v>10</v>
      </c>
      <c r="B11" s="3" t="s">
        <v>129</v>
      </c>
      <c r="C11" s="4">
        <f t="shared" si="0"/>
        <v>340</v>
      </c>
      <c r="D11" s="4">
        <f>$O$4</f>
        <v>2055.5555555555557</v>
      </c>
      <c r="E11" s="4">
        <v>0</v>
      </c>
      <c r="F11" s="4">
        <v>0</v>
      </c>
      <c r="G11" s="9">
        <v>0</v>
      </c>
      <c r="H11" s="9">
        <f t="shared" si="6"/>
        <v>411.11111111111109</v>
      </c>
      <c r="I11" s="4">
        <f t="shared" si="4"/>
        <v>2806.666666666667</v>
      </c>
      <c r="J11" s="8">
        <f>P17</f>
        <v>340</v>
      </c>
      <c r="K11" s="114">
        <f t="shared" si="5"/>
        <v>2466.666666666667</v>
      </c>
      <c r="L11"/>
      <c r="M11" s="113">
        <v>4</v>
      </c>
      <c r="N11" s="191" t="s">
        <v>128</v>
      </c>
      <c r="O11" s="192"/>
      <c r="P11" s="194">
        <v>853</v>
      </c>
      <c r="Q11" s="201"/>
    </row>
    <row r="12" spans="1:19" ht="14.5" customHeight="1" x14ac:dyDescent="0.35">
      <c r="A12" s="218" t="s">
        <v>12</v>
      </c>
      <c r="B12" s="219"/>
      <c r="C12" s="222">
        <f t="shared" ref="C12:K12" si="8">SUM(C2:C11)</f>
        <v>3400</v>
      </c>
      <c r="D12" s="222">
        <f t="shared" si="8"/>
        <v>19499.999999999996</v>
      </c>
      <c r="E12" s="222">
        <f t="shared" si="8"/>
        <v>2999.9999999999995</v>
      </c>
      <c r="F12" s="222">
        <f t="shared" si="8"/>
        <v>700</v>
      </c>
      <c r="G12" s="222">
        <f t="shared" si="8"/>
        <v>13223</v>
      </c>
      <c r="H12" s="222">
        <f t="shared" si="8"/>
        <v>3700.0000000000009</v>
      </c>
      <c r="I12" s="222">
        <f t="shared" si="8"/>
        <v>43522.999999999993</v>
      </c>
      <c r="J12" s="222">
        <f t="shared" si="8"/>
        <v>10489</v>
      </c>
      <c r="K12" s="224">
        <f t="shared" si="8"/>
        <v>33034</v>
      </c>
      <c r="M12" s="113">
        <v>5</v>
      </c>
      <c r="N12" s="191" t="s">
        <v>8</v>
      </c>
      <c r="O12" s="192"/>
      <c r="P12" s="194">
        <v>0</v>
      </c>
      <c r="Q12" s="201"/>
    </row>
    <row r="13" spans="1:19" ht="15" customHeight="1" thickBot="1" x14ac:dyDescent="0.4">
      <c r="A13" s="220"/>
      <c r="B13" s="221"/>
      <c r="C13" s="223"/>
      <c r="D13" s="223"/>
      <c r="E13" s="223"/>
      <c r="F13" s="223"/>
      <c r="G13" s="223"/>
      <c r="H13" s="223"/>
      <c r="I13" s="223"/>
      <c r="J13" s="223"/>
      <c r="K13" s="225"/>
      <c r="M13" s="113">
        <v>6</v>
      </c>
      <c r="N13" s="191" t="s">
        <v>125</v>
      </c>
      <c r="O13" s="192"/>
      <c r="P13" s="194">
        <v>0</v>
      </c>
      <c r="Q13" s="201"/>
    </row>
    <row r="14" spans="1:19" ht="15.5" x14ac:dyDescent="0.35">
      <c r="J14" s="98" t="s">
        <v>2</v>
      </c>
      <c r="K14" s="99">
        <f>C12</f>
        <v>3400</v>
      </c>
      <c r="M14" s="113">
        <v>7</v>
      </c>
      <c r="N14" s="191" t="s">
        <v>7</v>
      </c>
      <c r="O14" s="192"/>
      <c r="P14" s="190">
        <v>1850</v>
      </c>
      <c r="Q14" s="200"/>
    </row>
    <row r="15" spans="1:19" ht="14.5" customHeight="1" x14ac:dyDescent="0.35">
      <c r="B15" s="7"/>
      <c r="I15" s="23"/>
      <c r="J15" s="100" t="s">
        <v>3</v>
      </c>
      <c r="K15" s="101">
        <f>D12</f>
        <v>19499.999999999996</v>
      </c>
      <c r="M15" s="113">
        <v>8</v>
      </c>
      <c r="N15" s="191" t="s">
        <v>102</v>
      </c>
      <c r="O15" s="192"/>
      <c r="P15" s="190">
        <v>267</v>
      </c>
      <c r="Q15" s="200"/>
    </row>
    <row r="16" spans="1:19" ht="15" customHeight="1" x14ac:dyDescent="0.35">
      <c r="B16" s="7"/>
      <c r="I16" s="22"/>
      <c r="J16" s="100" t="s">
        <v>19</v>
      </c>
      <c r="K16" s="101">
        <f>E12</f>
        <v>2999.9999999999995</v>
      </c>
      <c r="M16" s="113">
        <v>9</v>
      </c>
      <c r="N16" s="191" t="s">
        <v>127</v>
      </c>
      <c r="O16" s="192"/>
      <c r="P16" s="190">
        <v>0</v>
      </c>
      <c r="Q16" s="200"/>
    </row>
    <row r="17" spans="2:17" ht="15.5" x14ac:dyDescent="0.35">
      <c r="J17" s="100" t="s">
        <v>13</v>
      </c>
      <c r="K17" s="101">
        <f>F12</f>
        <v>700</v>
      </c>
      <c r="M17" s="113">
        <v>10</v>
      </c>
      <c r="N17" s="191" t="s">
        <v>129</v>
      </c>
      <c r="O17" s="192"/>
      <c r="P17" s="190">
        <v>340</v>
      </c>
      <c r="Q17" s="200"/>
    </row>
    <row r="18" spans="2:17" ht="15.5" x14ac:dyDescent="0.35">
      <c r="J18" s="100" t="s">
        <v>105</v>
      </c>
      <c r="K18" s="102">
        <f>P19</f>
        <v>2734</v>
      </c>
      <c r="M18" s="212" t="s">
        <v>71</v>
      </c>
      <c r="N18" s="213"/>
      <c r="O18" s="214"/>
      <c r="P18" s="190">
        <f>SUM(P8:Q17)</f>
        <v>10489</v>
      </c>
      <c r="Q18" s="200"/>
    </row>
    <row r="19" spans="2:17" ht="15.5" x14ac:dyDescent="0.35">
      <c r="B19" s="7"/>
      <c r="J19" s="117" t="s">
        <v>136</v>
      </c>
      <c r="K19" s="118">
        <f>H12</f>
        <v>3700.0000000000009</v>
      </c>
      <c r="M19" s="212" t="s">
        <v>70</v>
      </c>
      <c r="N19" s="213"/>
      <c r="O19" s="214"/>
      <c r="P19" s="190">
        <v>2734</v>
      </c>
      <c r="Q19" s="200"/>
    </row>
    <row r="20" spans="2:17" ht="16" thickBot="1" x14ac:dyDescent="0.4">
      <c r="B20" s="7"/>
      <c r="J20" s="115" t="s">
        <v>74</v>
      </c>
      <c r="K20" s="103">
        <f>SUM(K14:K19)-K12</f>
        <v>0</v>
      </c>
      <c r="M20" s="215" t="s">
        <v>104</v>
      </c>
      <c r="N20" s="216"/>
      <c r="O20" s="217"/>
      <c r="P20" s="202">
        <f>SUM(P18:Q19)</f>
        <v>13223</v>
      </c>
      <c r="Q20" s="203"/>
    </row>
    <row r="21" spans="2:17" x14ac:dyDescent="0.35">
      <c r="B21" s="7"/>
    </row>
    <row r="22" spans="2:17" x14ac:dyDescent="0.35">
      <c r="B22" s="7"/>
    </row>
    <row r="23" spans="2:17" x14ac:dyDescent="0.35">
      <c r="B23" s="7"/>
      <c r="D23">
        <v>3700</v>
      </c>
    </row>
    <row r="24" spans="2:17" x14ac:dyDescent="0.35">
      <c r="B24" s="7"/>
      <c r="D24">
        <f>D23/9</f>
        <v>411.11111111111109</v>
      </c>
    </row>
    <row r="25" spans="2:17" x14ac:dyDescent="0.35">
      <c r="B25" s="7"/>
    </row>
  </sheetData>
  <mergeCells count="40">
    <mergeCell ref="A12:B13"/>
    <mergeCell ref="N12:O12"/>
    <mergeCell ref="P12:Q12"/>
    <mergeCell ref="N13:O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P9:Q9"/>
    <mergeCell ref="N10:O10"/>
    <mergeCell ref="P10:Q10"/>
    <mergeCell ref="N11:O11"/>
    <mergeCell ref="P11:Q11"/>
    <mergeCell ref="P20:Q20"/>
    <mergeCell ref="M6:M7"/>
    <mergeCell ref="N6:Q6"/>
    <mergeCell ref="N7:O7"/>
    <mergeCell ref="P7:Q7"/>
    <mergeCell ref="M18:O18"/>
    <mergeCell ref="M20:O20"/>
    <mergeCell ref="M19:O19"/>
    <mergeCell ref="P18:Q18"/>
    <mergeCell ref="P19:Q19"/>
    <mergeCell ref="N15:O15"/>
    <mergeCell ref="P15:Q15"/>
    <mergeCell ref="N16:O16"/>
    <mergeCell ref="N8:O8"/>
    <mergeCell ref="P8:Q8"/>
    <mergeCell ref="N9:O9"/>
    <mergeCell ref="P16:Q16"/>
    <mergeCell ref="N17:O17"/>
    <mergeCell ref="P17:Q17"/>
    <mergeCell ref="P13:Q13"/>
    <mergeCell ref="N14:O14"/>
    <mergeCell ref="P14:Q14"/>
  </mergeCells>
  <pageMargins left="0.7" right="0.7" top="0.75" bottom="0.75" header="0.3" footer="0.3"/>
  <pageSetup orientation="portrait" horizontalDpi="90" verticalDpi="90" r:id="rId1"/>
  <ignoredErrors>
    <ignoredError sqref="J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A76B-0256-46D5-AF5F-3692FF3FB1B0}">
  <dimension ref="A1:W27"/>
  <sheetViews>
    <sheetView zoomScale="70" zoomScaleNormal="70" workbookViewId="0">
      <selection activeCell="F21" sqref="F21"/>
    </sheetView>
  </sheetViews>
  <sheetFormatPr defaultRowHeight="14.5" x14ac:dyDescent="0.35"/>
  <cols>
    <col min="1" max="1" width="5.453125" style="7" customWidth="1"/>
    <col min="2" max="2" width="11.453125" bestFit="1" customWidth="1"/>
    <col min="3" max="3" width="12.36328125" bestFit="1" customWidth="1"/>
    <col min="4" max="4" width="8.08984375" bestFit="1" customWidth="1"/>
    <col min="5" max="5" width="6.7265625" bestFit="1" customWidth="1"/>
    <col min="6" max="6" width="8.08984375" style="7" bestFit="1" customWidth="1"/>
    <col min="7" max="7" width="10.81640625" style="7" customWidth="1"/>
    <col min="8" max="8" width="9.90625" bestFit="1" customWidth="1"/>
    <col min="9" max="9" width="12.90625" style="7" bestFit="1" customWidth="1"/>
    <col min="10" max="10" width="14.6328125" style="91" customWidth="1"/>
    <col min="11" max="11" width="5.453125" customWidth="1"/>
    <col min="12" max="12" width="10.6328125" bestFit="1" customWidth="1"/>
    <col min="13" max="13" width="14" bestFit="1" customWidth="1"/>
    <col min="14" max="14" width="10.81640625" bestFit="1" customWidth="1"/>
    <col min="18" max="18" width="10.7265625" bestFit="1" customWidth="1"/>
    <col min="20" max="20" width="12.453125" customWidth="1"/>
  </cols>
  <sheetData>
    <row r="1" spans="1:23" s="48" customFormat="1" ht="47.5" customHeight="1" x14ac:dyDescent="0.35">
      <c r="A1" s="87" t="s">
        <v>0</v>
      </c>
      <c r="B1" s="88" t="s">
        <v>1</v>
      </c>
      <c r="C1" s="88" t="s">
        <v>2</v>
      </c>
      <c r="D1" s="88" t="s">
        <v>3</v>
      </c>
      <c r="E1" s="88" t="s">
        <v>19</v>
      </c>
      <c r="F1" s="89" t="s">
        <v>25</v>
      </c>
      <c r="G1" s="89" t="s">
        <v>146</v>
      </c>
      <c r="H1" s="88" t="s">
        <v>135</v>
      </c>
      <c r="I1" s="89" t="s">
        <v>33</v>
      </c>
      <c r="J1" s="90" t="s">
        <v>24</v>
      </c>
      <c r="L1" s="104"/>
      <c r="M1" s="105" t="s">
        <v>2</v>
      </c>
      <c r="N1" s="105" t="s">
        <v>3</v>
      </c>
      <c r="O1" s="105" t="s">
        <v>19</v>
      </c>
      <c r="P1" s="106" t="s">
        <v>5</v>
      </c>
      <c r="Q1" s="107" t="s">
        <v>146</v>
      </c>
    </row>
    <row r="2" spans="1:23" ht="18.5" x14ac:dyDescent="0.45">
      <c r="A2" s="29">
        <v>1</v>
      </c>
      <c r="B2" s="2" t="s">
        <v>126</v>
      </c>
      <c r="C2" s="4">
        <f t="shared" ref="C2:C13" si="0">$M$4</f>
        <v>283.33333333333331</v>
      </c>
      <c r="D2" s="4">
        <f>$N$4</f>
        <v>1772.7272727272727</v>
      </c>
      <c r="E2" s="4">
        <f t="shared" ref="E2:E13" si="1">$O$4</f>
        <v>250</v>
      </c>
      <c r="F2" s="9">
        <f>$P$4</f>
        <v>1703.5555555555557</v>
      </c>
      <c r="G2" s="9">
        <f t="shared" ref="G2:G12" si="2">$Q$4</f>
        <v>1301.7272727272727</v>
      </c>
      <c r="H2" s="4">
        <f>SUM(C2:G2)</f>
        <v>5311.3434343434346</v>
      </c>
      <c r="I2" s="8">
        <v>0</v>
      </c>
      <c r="J2" s="114">
        <f t="shared" ref="J2:J13" si="3">H2-I2</f>
        <v>5311.3434343434346</v>
      </c>
      <c r="L2" s="108" t="s">
        <v>118</v>
      </c>
      <c r="M2" s="68">
        <v>12</v>
      </c>
      <c r="N2" s="68">
        <v>11</v>
      </c>
      <c r="O2" s="68">
        <v>12</v>
      </c>
      <c r="P2" s="68">
        <v>9</v>
      </c>
      <c r="Q2" s="109">
        <v>11</v>
      </c>
      <c r="T2" t="s">
        <v>148</v>
      </c>
      <c r="U2">
        <v>11499</v>
      </c>
    </row>
    <row r="3" spans="1:23" ht="18.5" x14ac:dyDescent="0.45">
      <c r="A3" s="29">
        <v>2</v>
      </c>
      <c r="B3" s="2" t="s">
        <v>11</v>
      </c>
      <c r="C3" s="4">
        <f t="shared" si="0"/>
        <v>283.33333333333331</v>
      </c>
      <c r="D3" s="4">
        <f>$N$4</f>
        <v>1772.7272727272727</v>
      </c>
      <c r="E3" s="4">
        <f t="shared" si="1"/>
        <v>250</v>
      </c>
      <c r="F3" s="9">
        <f>$P$4</f>
        <v>1703.5555555555557</v>
      </c>
      <c r="G3" s="9">
        <f t="shared" si="2"/>
        <v>1301.7272727272727</v>
      </c>
      <c r="H3" s="4">
        <f>SUM(C3:G3)</f>
        <v>5311.3434343434346</v>
      </c>
      <c r="I3" s="8">
        <f>O9</f>
        <v>2642</v>
      </c>
      <c r="J3" s="114">
        <f t="shared" si="3"/>
        <v>2669.3434343434346</v>
      </c>
      <c r="L3" s="108" t="s">
        <v>133</v>
      </c>
      <c r="M3" s="2">
        <v>3400</v>
      </c>
      <c r="N3" s="2">
        <v>19500</v>
      </c>
      <c r="O3" s="2">
        <v>3000</v>
      </c>
      <c r="P3" s="2">
        <f>O22</f>
        <v>15332</v>
      </c>
      <c r="Q3" s="110">
        <v>14319</v>
      </c>
      <c r="T3" t="s">
        <v>147</v>
      </c>
      <c r="U3">
        <v>1750</v>
      </c>
    </row>
    <row r="4" spans="1:23" ht="19" thickBot="1" x14ac:dyDescent="0.5">
      <c r="A4" s="29">
        <v>3</v>
      </c>
      <c r="B4" s="2" t="s">
        <v>128</v>
      </c>
      <c r="C4" s="4">
        <f t="shared" si="0"/>
        <v>283.33333333333331</v>
      </c>
      <c r="D4" s="4">
        <f>$N$4</f>
        <v>1772.7272727272727</v>
      </c>
      <c r="E4" s="4">
        <f t="shared" si="1"/>
        <v>250</v>
      </c>
      <c r="F4" s="9">
        <v>0</v>
      </c>
      <c r="G4" s="9">
        <f t="shared" si="2"/>
        <v>1301.7272727272727</v>
      </c>
      <c r="H4" s="4">
        <f>SUM(C4:G4)</f>
        <v>3607.787878787879</v>
      </c>
      <c r="I4" s="8">
        <f>O11</f>
        <v>0</v>
      </c>
      <c r="J4" s="114">
        <f t="shared" si="3"/>
        <v>3607.787878787879</v>
      </c>
      <c r="L4" s="111" t="s">
        <v>134</v>
      </c>
      <c r="M4" s="112">
        <f>M3/M2</f>
        <v>283.33333333333331</v>
      </c>
      <c r="N4" s="112">
        <f>N3/N2</f>
        <v>1772.7272727272727</v>
      </c>
      <c r="O4" s="112">
        <f>O3/O2</f>
        <v>250</v>
      </c>
      <c r="P4" s="112">
        <f>P3/P2</f>
        <v>1703.5555555555557</v>
      </c>
      <c r="Q4" s="116">
        <f>Q3/Q2</f>
        <v>1301.7272727272727</v>
      </c>
      <c r="T4" t="s">
        <v>149</v>
      </c>
      <c r="U4">
        <v>560</v>
      </c>
    </row>
    <row r="5" spans="1:23" ht="19" thickBot="1" x14ac:dyDescent="0.5">
      <c r="A5" s="29">
        <v>4</v>
      </c>
      <c r="B5" s="2" t="s">
        <v>127</v>
      </c>
      <c r="C5" s="4">
        <f t="shared" si="0"/>
        <v>283.33333333333331</v>
      </c>
      <c r="D5" s="4">
        <f>$N$4</f>
        <v>1772.7272727272727</v>
      </c>
      <c r="E5" s="4">
        <f t="shared" si="1"/>
        <v>250</v>
      </c>
      <c r="F5" s="9">
        <f>$P$4</f>
        <v>1703.5555555555557</v>
      </c>
      <c r="G5" s="9">
        <f t="shared" si="2"/>
        <v>1301.7272727272727</v>
      </c>
      <c r="H5" s="4">
        <f t="shared" ref="H5:H13" si="4">SUM(C5:G5)</f>
        <v>5311.3434343434346</v>
      </c>
      <c r="I5" s="8">
        <f>O18</f>
        <v>0</v>
      </c>
      <c r="J5" s="114">
        <f t="shared" si="3"/>
        <v>5311.3434343434346</v>
      </c>
      <c r="T5" t="s">
        <v>150</v>
      </c>
      <c r="U5">
        <v>250</v>
      </c>
    </row>
    <row r="6" spans="1:23" ht="18.5" x14ac:dyDescent="0.45">
      <c r="A6" s="92">
        <v>5</v>
      </c>
      <c r="B6" s="93" t="s">
        <v>8</v>
      </c>
      <c r="C6" s="94">
        <f t="shared" si="0"/>
        <v>283.33333333333331</v>
      </c>
      <c r="D6" s="94">
        <v>0</v>
      </c>
      <c r="E6" s="94">
        <f t="shared" si="1"/>
        <v>250</v>
      </c>
      <c r="F6" s="95">
        <f>$P$4</f>
        <v>1703.5555555555557</v>
      </c>
      <c r="G6" s="95">
        <f t="shared" si="2"/>
        <v>1301.7272727272727</v>
      </c>
      <c r="H6" s="94">
        <f t="shared" si="4"/>
        <v>3538.6161616161617</v>
      </c>
      <c r="I6" s="96">
        <f>O14</f>
        <v>0</v>
      </c>
      <c r="J6" s="97">
        <f t="shared" si="3"/>
        <v>3538.6161616161617</v>
      </c>
      <c r="L6" s="204" t="s">
        <v>0</v>
      </c>
      <c r="M6" s="206" t="s">
        <v>69</v>
      </c>
      <c r="N6" s="207"/>
      <c r="O6" s="207"/>
      <c r="P6" s="208"/>
      <c r="T6" t="s">
        <v>151</v>
      </c>
      <c r="U6">
        <v>260</v>
      </c>
      <c r="V6">
        <v>0</v>
      </c>
    </row>
    <row r="7" spans="1:23" ht="18.5" x14ac:dyDescent="0.45">
      <c r="A7" s="29">
        <v>6</v>
      </c>
      <c r="B7" s="2" t="s">
        <v>131</v>
      </c>
      <c r="C7" s="4">
        <f t="shared" si="0"/>
        <v>283.33333333333331</v>
      </c>
      <c r="D7" s="4">
        <f t="shared" ref="D7:D13" si="5">$N$4</f>
        <v>1772.7272727272727</v>
      </c>
      <c r="E7" s="4">
        <f t="shared" si="1"/>
        <v>250</v>
      </c>
      <c r="F7" s="9">
        <f>$P$4</f>
        <v>1703.5555555555557</v>
      </c>
      <c r="G7" s="9">
        <f t="shared" si="2"/>
        <v>1301.7272727272727</v>
      </c>
      <c r="H7" s="4">
        <f t="shared" si="4"/>
        <v>5311.3434343434346</v>
      </c>
      <c r="I7" s="8">
        <f>O8</f>
        <v>3645</v>
      </c>
      <c r="J7" s="114">
        <f t="shared" si="3"/>
        <v>1666.3434343434346</v>
      </c>
      <c r="L7" s="205"/>
      <c r="M7" s="209" t="s">
        <v>1</v>
      </c>
      <c r="N7" s="210"/>
      <c r="O7" s="209" t="s">
        <v>103</v>
      </c>
      <c r="P7" s="211"/>
      <c r="T7" t="s">
        <v>46</v>
      </c>
      <c r="U7">
        <v>14319</v>
      </c>
    </row>
    <row r="8" spans="1:23" ht="18.5" x14ac:dyDescent="0.45">
      <c r="A8" s="29">
        <v>7</v>
      </c>
      <c r="B8" s="2" t="s">
        <v>125</v>
      </c>
      <c r="C8" s="4">
        <f t="shared" si="0"/>
        <v>283.33333333333331</v>
      </c>
      <c r="D8" s="4">
        <f t="shared" si="5"/>
        <v>1772.7272727272727</v>
      </c>
      <c r="E8" s="4">
        <f t="shared" si="1"/>
        <v>250</v>
      </c>
      <c r="F8" s="9">
        <f>$P$4</f>
        <v>1703.5555555555557</v>
      </c>
      <c r="G8" s="9">
        <f t="shared" si="2"/>
        <v>1301.7272727272727</v>
      </c>
      <c r="H8" s="4">
        <f t="shared" si="4"/>
        <v>5311.3434343434346</v>
      </c>
      <c r="I8" s="8">
        <f>O15</f>
        <v>0</v>
      </c>
      <c r="J8" s="114">
        <f t="shared" si="3"/>
        <v>5311.3434343434346</v>
      </c>
      <c r="L8" s="113">
        <v>1</v>
      </c>
      <c r="M8" s="191" t="s">
        <v>130</v>
      </c>
      <c r="N8" s="192"/>
      <c r="O8" s="194">
        <v>3645</v>
      </c>
      <c r="P8" s="201"/>
      <c r="V8">
        <v>0</v>
      </c>
    </row>
    <row r="9" spans="1:23" ht="18.5" x14ac:dyDescent="0.45">
      <c r="A9" s="80">
        <v>8</v>
      </c>
      <c r="B9" s="3" t="s">
        <v>102</v>
      </c>
      <c r="C9" s="4">
        <f t="shared" si="0"/>
        <v>283.33333333333331</v>
      </c>
      <c r="D9" s="4">
        <f t="shared" si="5"/>
        <v>1772.7272727272727</v>
      </c>
      <c r="E9" s="4">
        <f t="shared" si="1"/>
        <v>250</v>
      </c>
      <c r="F9" s="9">
        <f>$P$4</f>
        <v>1703.5555555555557</v>
      </c>
      <c r="G9" s="9">
        <f t="shared" si="2"/>
        <v>1301.7272727272727</v>
      </c>
      <c r="H9" s="4">
        <f t="shared" si="4"/>
        <v>5311.3434343434346</v>
      </c>
      <c r="I9" s="8">
        <f>O17</f>
        <v>472</v>
      </c>
      <c r="J9" s="114">
        <f>H9-I9</f>
        <v>4839.3434343434346</v>
      </c>
      <c r="L9" s="113">
        <v>2</v>
      </c>
      <c r="M9" s="191" t="s">
        <v>11</v>
      </c>
      <c r="N9" s="192"/>
      <c r="O9" s="194">
        <v>2642</v>
      </c>
      <c r="P9" s="201"/>
    </row>
    <row r="10" spans="1:23" ht="18.5" x14ac:dyDescent="0.45">
      <c r="A10" s="29">
        <v>9</v>
      </c>
      <c r="B10" s="3" t="s">
        <v>132</v>
      </c>
      <c r="C10" s="4">
        <f t="shared" si="0"/>
        <v>283.33333333333331</v>
      </c>
      <c r="D10" s="4">
        <f t="shared" si="5"/>
        <v>1772.7272727272727</v>
      </c>
      <c r="E10" s="4">
        <f t="shared" si="1"/>
        <v>250</v>
      </c>
      <c r="F10" s="9">
        <v>0</v>
      </c>
      <c r="G10" s="9">
        <f t="shared" si="2"/>
        <v>1301.7272727272727</v>
      </c>
      <c r="H10" s="4">
        <f t="shared" si="4"/>
        <v>3607.787878787879</v>
      </c>
      <c r="I10" s="8">
        <f>O16</f>
        <v>1150</v>
      </c>
      <c r="J10" s="114">
        <f t="shared" si="3"/>
        <v>2457.787878787879</v>
      </c>
      <c r="L10" s="113">
        <v>3</v>
      </c>
      <c r="M10" s="191" t="s">
        <v>126</v>
      </c>
      <c r="N10" s="192"/>
      <c r="O10" s="194">
        <v>0</v>
      </c>
      <c r="P10" s="201"/>
    </row>
    <row r="11" spans="1:23" s="22" customFormat="1" ht="18.5" x14ac:dyDescent="0.45">
      <c r="A11" s="29">
        <v>10</v>
      </c>
      <c r="B11" s="3" t="s">
        <v>129</v>
      </c>
      <c r="C11" s="4">
        <f t="shared" si="0"/>
        <v>283.33333333333331</v>
      </c>
      <c r="D11" s="4">
        <f t="shared" si="5"/>
        <v>1772.7272727272727</v>
      </c>
      <c r="E11" s="4">
        <f t="shared" si="1"/>
        <v>250</v>
      </c>
      <c r="F11" s="9">
        <f>$P$4</f>
        <v>1703.5555555555557</v>
      </c>
      <c r="G11" s="9">
        <f t="shared" si="2"/>
        <v>1301.7272727272727</v>
      </c>
      <c r="H11" s="4">
        <f t="shared" si="4"/>
        <v>5311.3434343434346</v>
      </c>
      <c r="I11" s="8">
        <f>O19</f>
        <v>5135</v>
      </c>
      <c r="J11" s="114">
        <f t="shared" si="3"/>
        <v>176.34343434343464</v>
      </c>
      <c r="K11"/>
      <c r="L11" s="113">
        <v>4</v>
      </c>
      <c r="M11" s="191" t="s">
        <v>128</v>
      </c>
      <c r="N11" s="192"/>
      <c r="O11" s="194">
        <v>0</v>
      </c>
      <c r="P11" s="201"/>
      <c r="W11" s="22">
        <v>0</v>
      </c>
    </row>
    <row r="12" spans="1:23" s="22" customFormat="1" ht="18.5" x14ac:dyDescent="0.45">
      <c r="A12" s="121">
        <v>11</v>
      </c>
      <c r="B12" s="122" t="s">
        <v>145</v>
      </c>
      <c r="C12" s="4">
        <f t="shared" si="0"/>
        <v>283.33333333333331</v>
      </c>
      <c r="D12" s="4">
        <f t="shared" si="5"/>
        <v>1772.7272727272727</v>
      </c>
      <c r="E12" s="4">
        <f t="shared" si="1"/>
        <v>250</v>
      </c>
      <c r="F12" s="9">
        <f>$P$4</f>
        <v>1703.5555555555557</v>
      </c>
      <c r="G12" s="9">
        <f t="shared" si="2"/>
        <v>1301.7272727272727</v>
      </c>
      <c r="H12" s="4">
        <f t="shared" si="4"/>
        <v>5311.3434343434346</v>
      </c>
      <c r="I12" s="8">
        <f>O12</f>
        <v>0</v>
      </c>
      <c r="J12" s="114">
        <f t="shared" si="3"/>
        <v>5311.3434343434346</v>
      </c>
      <c r="K12"/>
      <c r="L12" s="113">
        <v>5</v>
      </c>
      <c r="M12" s="191" t="str">
        <f>B12</f>
        <v>Ruban</v>
      </c>
      <c r="N12" s="192"/>
      <c r="O12" s="194">
        <v>0</v>
      </c>
      <c r="P12" s="201"/>
      <c r="W12" s="22">
        <v>0</v>
      </c>
    </row>
    <row r="13" spans="1:23" s="22" customFormat="1" ht="18.5" x14ac:dyDescent="0.45">
      <c r="A13" s="121">
        <v>12</v>
      </c>
      <c r="B13" s="122" t="s">
        <v>144</v>
      </c>
      <c r="C13" s="4">
        <f t="shared" si="0"/>
        <v>283.33333333333331</v>
      </c>
      <c r="D13" s="4">
        <f t="shared" si="5"/>
        <v>1772.7272727272727</v>
      </c>
      <c r="E13" s="4">
        <f t="shared" si="1"/>
        <v>250</v>
      </c>
      <c r="F13" s="9">
        <v>0</v>
      </c>
      <c r="G13" s="9">
        <v>0</v>
      </c>
      <c r="H13" s="4">
        <f t="shared" si="4"/>
        <v>2306.060606060606</v>
      </c>
      <c r="I13" s="8">
        <f>O13</f>
        <v>0</v>
      </c>
      <c r="J13" s="114">
        <f t="shared" si="3"/>
        <v>2306.060606060606</v>
      </c>
      <c r="K13"/>
      <c r="L13" s="113">
        <v>6</v>
      </c>
      <c r="M13" s="191" t="str">
        <f>B13</f>
        <v>gully boy frd</v>
      </c>
      <c r="N13" s="192"/>
      <c r="O13" s="194">
        <v>0</v>
      </c>
      <c r="P13" s="201"/>
    </row>
    <row r="14" spans="1:23" s="22" customFormat="1" x14ac:dyDescent="0.35">
      <c r="A14" s="218" t="s">
        <v>12</v>
      </c>
      <c r="B14" s="219"/>
      <c r="C14" s="222">
        <f t="shared" ref="C14:J14" si="6">SUM(C2:C13)</f>
        <v>3400.0000000000005</v>
      </c>
      <c r="D14" s="222">
        <f t="shared" si="6"/>
        <v>19499.999999999996</v>
      </c>
      <c r="E14" s="222">
        <f t="shared" si="6"/>
        <v>3000</v>
      </c>
      <c r="F14" s="222">
        <f t="shared" si="6"/>
        <v>15331.999999999996</v>
      </c>
      <c r="G14" s="222">
        <f t="shared" si="6"/>
        <v>14318.999999999998</v>
      </c>
      <c r="H14" s="222">
        <f t="shared" si="6"/>
        <v>55551.000000000007</v>
      </c>
      <c r="I14" s="222">
        <f t="shared" si="6"/>
        <v>13044</v>
      </c>
      <c r="J14" s="224">
        <f t="shared" si="6"/>
        <v>42507.000000000007</v>
      </c>
      <c r="K14"/>
      <c r="L14" s="113">
        <v>9</v>
      </c>
      <c r="M14" s="191" t="s">
        <v>8</v>
      </c>
      <c r="N14" s="192"/>
      <c r="O14" s="194">
        <v>0</v>
      </c>
      <c r="P14" s="201"/>
    </row>
    <row r="15" spans="1:23" s="22" customFormat="1" ht="15" thickBot="1" x14ac:dyDescent="0.4">
      <c r="A15" s="220"/>
      <c r="B15" s="221"/>
      <c r="C15" s="223"/>
      <c r="D15" s="223"/>
      <c r="E15" s="223"/>
      <c r="F15" s="223"/>
      <c r="G15" s="223"/>
      <c r="H15" s="223"/>
      <c r="I15" s="223"/>
      <c r="J15" s="225"/>
      <c r="K15"/>
      <c r="L15" s="113">
        <v>10</v>
      </c>
      <c r="M15" s="191" t="s">
        <v>125</v>
      </c>
      <c r="N15" s="192"/>
      <c r="O15" s="194">
        <v>0</v>
      </c>
      <c r="P15" s="201"/>
    </row>
    <row r="16" spans="1:23" ht="14.5" customHeight="1" x14ac:dyDescent="0.35">
      <c r="I16" s="98" t="s">
        <v>2</v>
      </c>
      <c r="J16" s="99">
        <f>C14</f>
        <v>3400.0000000000005</v>
      </c>
      <c r="L16" s="113">
        <v>11</v>
      </c>
      <c r="M16" s="191" t="s">
        <v>7</v>
      </c>
      <c r="N16" s="192"/>
      <c r="O16" s="190">
        <v>1150</v>
      </c>
      <c r="P16" s="200"/>
    </row>
    <row r="17" spans="2:16" ht="15" customHeight="1" x14ac:dyDescent="0.35">
      <c r="B17" s="7"/>
      <c r="H17" s="23"/>
      <c r="I17" s="100" t="s">
        <v>3</v>
      </c>
      <c r="J17" s="101">
        <f>D14</f>
        <v>19499.999999999996</v>
      </c>
      <c r="L17" s="113">
        <v>12</v>
      </c>
      <c r="M17" s="191" t="s">
        <v>102</v>
      </c>
      <c r="N17" s="192"/>
      <c r="O17" s="190">
        <v>472</v>
      </c>
      <c r="P17" s="200"/>
    </row>
    <row r="18" spans="2:16" ht="15.5" x14ac:dyDescent="0.35">
      <c r="B18" s="7"/>
      <c r="H18" s="22"/>
      <c r="I18" s="100" t="s">
        <v>19</v>
      </c>
      <c r="J18" s="101">
        <f>E14</f>
        <v>3000</v>
      </c>
      <c r="L18" s="113">
        <v>13</v>
      </c>
      <c r="M18" s="191" t="s">
        <v>127</v>
      </c>
      <c r="N18" s="192"/>
      <c r="O18" s="190">
        <v>0</v>
      </c>
      <c r="P18" s="200"/>
    </row>
    <row r="19" spans="2:16" ht="14.5" customHeight="1" x14ac:dyDescent="0.35">
      <c r="I19" s="100" t="s">
        <v>105</v>
      </c>
      <c r="J19" s="102">
        <f>O21</f>
        <v>2288</v>
      </c>
      <c r="L19" s="113">
        <v>10</v>
      </c>
      <c r="M19" s="191" t="s">
        <v>129</v>
      </c>
      <c r="N19" s="192"/>
      <c r="O19" s="190">
        <v>5135</v>
      </c>
      <c r="P19" s="200"/>
    </row>
    <row r="20" spans="2:16" ht="15" customHeight="1" x14ac:dyDescent="0.35">
      <c r="I20" s="117" t="s">
        <v>148</v>
      </c>
      <c r="J20" s="118">
        <f>G14</f>
        <v>14318.999999999998</v>
      </c>
      <c r="L20" s="212" t="s">
        <v>71</v>
      </c>
      <c r="M20" s="213"/>
      <c r="N20" s="214"/>
      <c r="O20" s="190">
        <f>SUM(O8:P19)</f>
        <v>13044</v>
      </c>
      <c r="P20" s="200"/>
    </row>
    <row r="21" spans="2:16" ht="16" thickBot="1" x14ac:dyDescent="0.4">
      <c r="B21" s="7"/>
      <c r="I21" s="115" t="s">
        <v>74</v>
      </c>
      <c r="J21" s="103">
        <f>SUM(J16:J20)-J14</f>
        <v>0</v>
      </c>
      <c r="L21" s="212" t="s">
        <v>70</v>
      </c>
      <c r="M21" s="213"/>
      <c r="N21" s="214"/>
      <c r="O21" s="190">
        <v>2288</v>
      </c>
      <c r="P21" s="200"/>
    </row>
    <row r="22" spans="2:16" ht="16" thickBot="1" x14ac:dyDescent="0.4">
      <c r="B22" s="7"/>
      <c r="L22" s="215" t="s">
        <v>104</v>
      </c>
      <c r="M22" s="216"/>
      <c r="N22" s="217"/>
      <c r="O22" s="202">
        <f>SUM(O20:P21)</f>
        <v>15332</v>
      </c>
      <c r="P22" s="203"/>
    </row>
    <row r="23" spans="2:16" x14ac:dyDescent="0.35">
      <c r="B23" s="7"/>
    </row>
    <row r="24" spans="2:16" x14ac:dyDescent="0.35">
      <c r="B24" s="7"/>
    </row>
    <row r="25" spans="2:16" x14ac:dyDescent="0.35">
      <c r="B25" s="7"/>
      <c r="D25">
        <v>0</v>
      </c>
    </row>
    <row r="26" spans="2:16" x14ac:dyDescent="0.35">
      <c r="B26" s="7"/>
      <c r="D26">
        <v>0</v>
      </c>
    </row>
    <row r="27" spans="2:16" x14ac:dyDescent="0.35">
      <c r="B27" s="7"/>
    </row>
  </sheetData>
  <mergeCells count="43">
    <mergeCell ref="L6:L7"/>
    <mergeCell ref="M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A14:B15"/>
    <mergeCell ref="C14:C15"/>
    <mergeCell ref="D14:D15"/>
    <mergeCell ref="E14:E15"/>
    <mergeCell ref="F14:F15"/>
    <mergeCell ref="M18:N18"/>
    <mergeCell ref="O18:P18"/>
    <mergeCell ref="G14:G15"/>
    <mergeCell ref="H14:H15"/>
    <mergeCell ref="I14:I15"/>
    <mergeCell ref="J14:J15"/>
    <mergeCell ref="M14:N14"/>
    <mergeCell ref="O14:P14"/>
    <mergeCell ref="M15:N15"/>
    <mergeCell ref="O15:P15"/>
    <mergeCell ref="L22:N22"/>
    <mergeCell ref="O22:P22"/>
    <mergeCell ref="M12:N12"/>
    <mergeCell ref="M13:N13"/>
    <mergeCell ref="O12:P12"/>
    <mergeCell ref="O13:P13"/>
    <mergeCell ref="M19:N19"/>
    <mergeCell ref="O19:P19"/>
    <mergeCell ref="L20:N20"/>
    <mergeCell ref="O20:P20"/>
    <mergeCell ref="L21:N21"/>
    <mergeCell ref="O21:P21"/>
    <mergeCell ref="M16:N16"/>
    <mergeCell ref="O16:P16"/>
    <mergeCell ref="M17:N17"/>
    <mergeCell ref="O17:P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50C2-1D32-4E1B-9179-8C1A7457B191}">
  <dimension ref="A1:W26"/>
  <sheetViews>
    <sheetView workbookViewId="0">
      <selection activeCell="H7" sqref="H7"/>
    </sheetView>
  </sheetViews>
  <sheetFormatPr defaultRowHeight="14.5" x14ac:dyDescent="0.35"/>
  <cols>
    <col min="1" max="1" width="5.453125" style="7" customWidth="1"/>
    <col min="2" max="2" width="11.453125" bestFit="1" customWidth="1"/>
    <col min="3" max="3" width="12.36328125" bestFit="1" customWidth="1"/>
    <col min="4" max="4" width="8.08984375" bestFit="1" customWidth="1"/>
    <col min="5" max="5" width="6.7265625" bestFit="1" customWidth="1"/>
    <col min="6" max="6" width="8.08984375" style="7" bestFit="1" customWidth="1"/>
    <col min="7" max="7" width="10.81640625" style="7" customWidth="1"/>
    <col min="8" max="8" width="9.90625" bestFit="1" customWidth="1"/>
    <col min="9" max="9" width="12.90625" style="7" bestFit="1" customWidth="1"/>
    <col min="10" max="10" width="14.6328125" style="91" customWidth="1"/>
    <col min="11" max="11" width="5.453125" customWidth="1"/>
    <col min="12" max="12" width="10.6328125" bestFit="1" customWidth="1"/>
    <col min="13" max="13" width="14" bestFit="1" customWidth="1"/>
    <col min="14" max="14" width="10.81640625" bestFit="1" customWidth="1"/>
    <col min="18" max="18" width="10.7265625" bestFit="1" customWidth="1"/>
    <col min="20" max="20" width="12.453125" customWidth="1"/>
  </cols>
  <sheetData>
    <row r="1" spans="1:23" s="48" customFormat="1" ht="47.5" customHeight="1" x14ac:dyDescent="0.35">
      <c r="A1" s="87" t="s">
        <v>0</v>
      </c>
      <c r="B1" s="88" t="s">
        <v>1</v>
      </c>
      <c r="C1" s="88" t="s">
        <v>2</v>
      </c>
      <c r="D1" s="88" t="s">
        <v>3</v>
      </c>
      <c r="E1" s="88" t="s">
        <v>19</v>
      </c>
      <c r="F1" s="89" t="s">
        <v>25</v>
      </c>
      <c r="G1" s="89" t="s">
        <v>152</v>
      </c>
      <c r="H1" s="88" t="s">
        <v>135</v>
      </c>
      <c r="I1" s="89" t="s">
        <v>33</v>
      </c>
      <c r="J1" s="90" t="s">
        <v>24</v>
      </c>
      <c r="L1" s="104"/>
      <c r="M1" s="105" t="s">
        <v>2</v>
      </c>
      <c r="N1" s="105" t="s">
        <v>3</v>
      </c>
      <c r="O1" s="105" t="s">
        <v>19</v>
      </c>
      <c r="P1" s="106" t="s">
        <v>5</v>
      </c>
      <c r="Q1" s="107" t="s">
        <v>152</v>
      </c>
    </row>
    <row r="2" spans="1:23" ht="18.5" x14ac:dyDescent="0.45">
      <c r="A2" s="29">
        <v>1</v>
      </c>
      <c r="B2" s="2" t="s">
        <v>126</v>
      </c>
      <c r="C2" s="4">
        <f t="shared" ref="C2:C12" si="0">$M$4</f>
        <v>309.09090909090907</v>
      </c>
      <c r="D2" s="4">
        <f>$N$4</f>
        <v>2000</v>
      </c>
      <c r="E2" s="4">
        <f t="shared" ref="E2:E12" si="1">$O$4</f>
        <v>236.36363636363637</v>
      </c>
      <c r="F2" s="9">
        <f>$P$4</f>
        <v>2889.1666666666665</v>
      </c>
      <c r="G2" s="9">
        <f t="shared" ref="G2:G12" si="2">$Q$4</f>
        <v>184.54545454545453</v>
      </c>
      <c r="H2" s="4">
        <f>SUM(C2:G2)</f>
        <v>5619.166666666667</v>
      </c>
      <c r="I2" s="8">
        <v>267</v>
      </c>
      <c r="J2" s="114">
        <f t="shared" ref="J2:J12" si="3">H2-I2</f>
        <v>5352.166666666667</v>
      </c>
      <c r="L2" s="108" t="s">
        <v>118</v>
      </c>
      <c r="M2" s="68">
        <v>11</v>
      </c>
      <c r="N2" s="68">
        <v>10</v>
      </c>
      <c r="O2" s="68">
        <v>11</v>
      </c>
      <c r="P2" s="68">
        <v>6</v>
      </c>
      <c r="Q2" s="109">
        <v>11</v>
      </c>
      <c r="T2" t="s">
        <v>148</v>
      </c>
      <c r="U2">
        <v>11499</v>
      </c>
    </row>
    <row r="3" spans="1:23" ht="18.5" x14ac:dyDescent="0.45">
      <c r="A3" s="29">
        <v>2</v>
      </c>
      <c r="B3" s="2" t="s">
        <v>11</v>
      </c>
      <c r="C3" s="4">
        <f t="shared" si="0"/>
        <v>309.09090909090907</v>
      </c>
      <c r="D3" s="4">
        <f>$N$4</f>
        <v>2000</v>
      </c>
      <c r="E3" s="4">
        <f t="shared" si="1"/>
        <v>236.36363636363637</v>
      </c>
      <c r="F3" s="9">
        <v>0</v>
      </c>
      <c r="G3" s="9">
        <f t="shared" si="2"/>
        <v>184.54545454545453</v>
      </c>
      <c r="H3" s="4">
        <f>SUM(C3:G3)</f>
        <v>2730</v>
      </c>
      <c r="I3" s="8">
        <f>O9</f>
        <v>2268</v>
      </c>
      <c r="J3" s="114">
        <f t="shared" si="3"/>
        <v>462</v>
      </c>
      <c r="L3" s="108" t="s">
        <v>133</v>
      </c>
      <c r="M3" s="2">
        <v>3400</v>
      </c>
      <c r="N3" s="2">
        <v>20000</v>
      </c>
      <c r="O3" s="2">
        <v>2600</v>
      </c>
      <c r="P3" s="2">
        <f>O21</f>
        <v>17335</v>
      </c>
      <c r="Q3" s="110">
        <v>2030</v>
      </c>
      <c r="T3" t="s">
        <v>147</v>
      </c>
      <c r="U3">
        <v>1750</v>
      </c>
    </row>
    <row r="4" spans="1:23" ht="19" thickBot="1" x14ac:dyDescent="0.5">
      <c r="A4" s="29">
        <v>3</v>
      </c>
      <c r="B4" s="2" t="s">
        <v>128</v>
      </c>
      <c r="C4" s="4">
        <f t="shared" si="0"/>
        <v>309.09090909090907</v>
      </c>
      <c r="D4" s="4">
        <f>$N$4</f>
        <v>2000</v>
      </c>
      <c r="E4" s="4">
        <f t="shared" si="1"/>
        <v>236.36363636363637</v>
      </c>
      <c r="F4" s="9">
        <v>2889</v>
      </c>
      <c r="G4" s="9">
        <f t="shared" si="2"/>
        <v>184.54545454545453</v>
      </c>
      <c r="H4" s="4">
        <f>SUM(C4:G4)</f>
        <v>5619.0000000000009</v>
      </c>
      <c r="I4" s="8">
        <f>O11</f>
        <v>430</v>
      </c>
      <c r="J4" s="114">
        <f t="shared" si="3"/>
        <v>5189.0000000000009</v>
      </c>
      <c r="L4" s="111" t="s">
        <v>134</v>
      </c>
      <c r="M4" s="112">
        <f>M3/M2</f>
        <v>309.09090909090907</v>
      </c>
      <c r="N4" s="112">
        <f>N3/N2</f>
        <v>2000</v>
      </c>
      <c r="O4" s="112">
        <f>O3/O2</f>
        <v>236.36363636363637</v>
      </c>
      <c r="P4" s="112">
        <f>P3/P2</f>
        <v>2889.1666666666665</v>
      </c>
      <c r="Q4" s="116">
        <f>Q3/Q2</f>
        <v>184.54545454545453</v>
      </c>
      <c r="T4" t="s">
        <v>149</v>
      </c>
      <c r="U4">
        <v>560</v>
      </c>
    </row>
    <row r="5" spans="1:23" ht="19" thickBot="1" x14ac:dyDescent="0.5">
      <c r="A5" s="29">
        <v>4</v>
      </c>
      <c r="B5" s="2" t="s">
        <v>34</v>
      </c>
      <c r="C5" s="4">
        <f t="shared" si="0"/>
        <v>309.09090909090907</v>
      </c>
      <c r="D5" s="4">
        <f>$N$4</f>
        <v>2000</v>
      </c>
      <c r="E5" s="4">
        <f t="shared" si="1"/>
        <v>236.36363636363637</v>
      </c>
      <c r="F5" s="9">
        <v>0</v>
      </c>
      <c r="G5" s="9">
        <f t="shared" si="2"/>
        <v>184.54545454545453</v>
      </c>
      <c r="H5" s="4">
        <f t="shared" ref="H5:H12" si="4">SUM(C5:G5)</f>
        <v>2730</v>
      </c>
      <c r="I5" s="8">
        <f>O17</f>
        <v>0</v>
      </c>
      <c r="J5" s="114">
        <f t="shared" si="3"/>
        <v>2730</v>
      </c>
      <c r="T5" t="s">
        <v>150</v>
      </c>
      <c r="U5">
        <v>250</v>
      </c>
    </row>
    <row r="6" spans="1:23" ht="18.5" x14ac:dyDescent="0.45">
      <c r="A6" s="92">
        <v>5</v>
      </c>
      <c r="B6" s="93" t="s">
        <v>8</v>
      </c>
      <c r="C6" s="94">
        <f t="shared" si="0"/>
        <v>309.09090909090907</v>
      </c>
      <c r="D6" s="94">
        <v>0</v>
      </c>
      <c r="E6" s="94">
        <f t="shared" si="1"/>
        <v>236.36363636363637</v>
      </c>
      <c r="F6" s="95">
        <f>$P$4</f>
        <v>2889.1666666666665</v>
      </c>
      <c r="G6" s="95">
        <f t="shared" si="2"/>
        <v>184.54545454545453</v>
      </c>
      <c r="H6" s="94">
        <f t="shared" si="4"/>
        <v>3619.1666666666665</v>
      </c>
      <c r="I6" s="96">
        <f>O13</f>
        <v>0</v>
      </c>
      <c r="J6" s="97">
        <f t="shared" si="3"/>
        <v>3619.1666666666665</v>
      </c>
      <c r="L6" s="204" t="s">
        <v>0</v>
      </c>
      <c r="M6" s="206" t="s">
        <v>69</v>
      </c>
      <c r="N6" s="207"/>
      <c r="O6" s="207"/>
      <c r="P6" s="208"/>
      <c r="T6" t="s">
        <v>151</v>
      </c>
      <c r="U6">
        <v>260</v>
      </c>
      <c r="V6">
        <v>0</v>
      </c>
    </row>
    <row r="7" spans="1:23" ht="18.5" x14ac:dyDescent="0.45">
      <c r="A7" s="29">
        <v>6</v>
      </c>
      <c r="B7" s="2" t="s">
        <v>131</v>
      </c>
      <c r="C7" s="4">
        <f t="shared" si="0"/>
        <v>309.09090909090907</v>
      </c>
      <c r="D7" s="4">
        <f t="shared" ref="D7:D12" si="5">$N$4</f>
        <v>2000</v>
      </c>
      <c r="E7" s="4">
        <f t="shared" si="1"/>
        <v>236.36363636363637</v>
      </c>
      <c r="F7" s="9">
        <f>$P$4</f>
        <v>2889.1666666666665</v>
      </c>
      <c r="G7" s="9">
        <f t="shared" si="2"/>
        <v>184.54545454545453</v>
      </c>
      <c r="H7" s="4">
        <f t="shared" si="4"/>
        <v>5619.166666666667</v>
      </c>
      <c r="I7" s="8">
        <f>O8</f>
        <v>305</v>
      </c>
      <c r="J7" s="114">
        <f t="shared" si="3"/>
        <v>5314.166666666667</v>
      </c>
      <c r="L7" s="205"/>
      <c r="M7" s="209" t="s">
        <v>1</v>
      </c>
      <c r="N7" s="210"/>
      <c r="O7" s="209" t="s">
        <v>103</v>
      </c>
      <c r="P7" s="211"/>
      <c r="T7" t="s">
        <v>46</v>
      </c>
      <c r="U7">
        <v>14319</v>
      </c>
    </row>
    <row r="8" spans="1:23" ht="18.5" x14ac:dyDescent="0.45">
      <c r="A8" s="29">
        <v>7</v>
      </c>
      <c r="B8" s="2" t="s">
        <v>125</v>
      </c>
      <c r="C8" s="4">
        <f t="shared" si="0"/>
        <v>309.09090909090907</v>
      </c>
      <c r="D8" s="4">
        <f t="shared" si="5"/>
        <v>2000</v>
      </c>
      <c r="E8" s="4">
        <f t="shared" si="1"/>
        <v>236.36363636363637</v>
      </c>
      <c r="F8" s="9">
        <v>0</v>
      </c>
      <c r="G8" s="9">
        <f t="shared" si="2"/>
        <v>184.54545454545453</v>
      </c>
      <c r="H8" s="4">
        <f t="shared" si="4"/>
        <v>2730</v>
      </c>
      <c r="I8" s="8">
        <f>O14</f>
        <v>0</v>
      </c>
      <c r="J8" s="114">
        <f t="shared" si="3"/>
        <v>2730</v>
      </c>
      <c r="L8" s="113">
        <v>1</v>
      </c>
      <c r="M8" s="191" t="s">
        <v>130</v>
      </c>
      <c r="N8" s="192"/>
      <c r="O8" s="194">
        <v>305</v>
      </c>
      <c r="P8" s="201"/>
      <c r="V8">
        <v>0</v>
      </c>
    </row>
    <row r="9" spans="1:23" ht="18.5" x14ac:dyDescent="0.45">
      <c r="A9" s="80">
        <v>8</v>
      </c>
      <c r="B9" s="3" t="s">
        <v>102</v>
      </c>
      <c r="C9" s="4">
        <f t="shared" si="0"/>
        <v>309.09090909090907</v>
      </c>
      <c r="D9" s="4">
        <f t="shared" si="5"/>
        <v>2000</v>
      </c>
      <c r="E9" s="4">
        <f t="shared" si="1"/>
        <v>236.36363636363637</v>
      </c>
      <c r="F9" s="9">
        <v>0</v>
      </c>
      <c r="G9" s="9">
        <f t="shared" si="2"/>
        <v>184.54545454545453</v>
      </c>
      <c r="H9" s="4">
        <f t="shared" si="4"/>
        <v>2730</v>
      </c>
      <c r="I9" s="8">
        <f>O16</f>
        <v>72</v>
      </c>
      <c r="J9" s="114">
        <f>H9-I9</f>
        <v>2658</v>
      </c>
      <c r="L9" s="113">
        <v>2</v>
      </c>
      <c r="M9" s="191" t="s">
        <v>11</v>
      </c>
      <c r="N9" s="192"/>
      <c r="O9" s="194">
        <v>2268</v>
      </c>
      <c r="P9" s="201"/>
    </row>
    <row r="10" spans="1:23" ht="18.5" x14ac:dyDescent="0.45">
      <c r="A10" s="29">
        <v>9</v>
      </c>
      <c r="B10" s="3" t="s">
        <v>132</v>
      </c>
      <c r="C10" s="4">
        <f t="shared" si="0"/>
        <v>309.09090909090907</v>
      </c>
      <c r="D10" s="4">
        <f t="shared" si="5"/>
        <v>2000</v>
      </c>
      <c r="E10" s="4">
        <f t="shared" si="1"/>
        <v>236.36363636363637</v>
      </c>
      <c r="F10" s="9">
        <v>2889</v>
      </c>
      <c r="G10" s="9">
        <f t="shared" si="2"/>
        <v>184.54545454545453</v>
      </c>
      <c r="H10" s="4">
        <f t="shared" si="4"/>
        <v>5619.0000000000009</v>
      </c>
      <c r="I10" s="8">
        <f>O15</f>
        <v>2386</v>
      </c>
      <c r="J10" s="114">
        <f t="shared" si="3"/>
        <v>3233.0000000000009</v>
      </c>
      <c r="L10" s="113">
        <v>3</v>
      </c>
      <c r="M10" s="191" t="s">
        <v>126</v>
      </c>
      <c r="N10" s="192"/>
      <c r="O10" s="194">
        <v>267</v>
      </c>
      <c r="P10" s="201"/>
    </row>
    <row r="11" spans="1:23" s="22" customFormat="1" ht="18.5" x14ac:dyDescent="0.45">
      <c r="A11" s="29">
        <v>10</v>
      </c>
      <c r="B11" s="3" t="s">
        <v>129</v>
      </c>
      <c r="C11" s="4">
        <f t="shared" si="0"/>
        <v>309.09090909090907</v>
      </c>
      <c r="D11" s="4">
        <f t="shared" si="5"/>
        <v>2000</v>
      </c>
      <c r="E11" s="4">
        <f t="shared" si="1"/>
        <v>236.36363636363637</v>
      </c>
      <c r="F11" s="9">
        <f>$P$4</f>
        <v>2889.1666666666665</v>
      </c>
      <c r="G11" s="9">
        <f t="shared" si="2"/>
        <v>184.54545454545453</v>
      </c>
      <c r="H11" s="4">
        <f t="shared" si="4"/>
        <v>5619.166666666667</v>
      </c>
      <c r="I11" s="8">
        <f>O18</f>
        <v>8759</v>
      </c>
      <c r="J11" s="114">
        <f t="shared" si="3"/>
        <v>-3139.833333333333</v>
      </c>
      <c r="K11"/>
      <c r="L11" s="113">
        <v>4</v>
      </c>
      <c r="M11" s="191" t="s">
        <v>128</v>
      </c>
      <c r="N11" s="192"/>
      <c r="O11" s="194">
        <v>430</v>
      </c>
      <c r="P11" s="201"/>
      <c r="W11" s="22">
        <v>0</v>
      </c>
    </row>
    <row r="12" spans="1:23" s="22" customFormat="1" ht="18.5" x14ac:dyDescent="0.45">
      <c r="A12" s="121">
        <v>11</v>
      </c>
      <c r="B12" s="122" t="s">
        <v>145</v>
      </c>
      <c r="C12" s="4">
        <f t="shared" si="0"/>
        <v>309.09090909090907</v>
      </c>
      <c r="D12" s="4">
        <f t="shared" si="5"/>
        <v>2000</v>
      </c>
      <c r="E12" s="4">
        <f t="shared" si="1"/>
        <v>236.36363636363637</v>
      </c>
      <c r="F12" s="9">
        <v>0</v>
      </c>
      <c r="G12" s="9">
        <f t="shared" si="2"/>
        <v>184.54545454545453</v>
      </c>
      <c r="H12" s="4">
        <f t="shared" si="4"/>
        <v>2730</v>
      </c>
      <c r="I12" s="8">
        <f>O12</f>
        <v>0</v>
      </c>
      <c r="J12" s="114">
        <f t="shared" si="3"/>
        <v>2730</v>
      </c>
      <c r="K12"/>
      <c r="L12" s="113">
        <v>5</v>
      </c>
      <c r="M12" s="191" t="str">
        <f>B12</f>
        <v>Ruban</v>
      </c>
      <c r="N12" s="192"/>
      <c r="O12" s="194">
        <v>0</v>
      </c>
      <c r="P12" s="201"/>
      <c r="W12" s="22">
        <v>0</v>
      </c>
    </row>
    <row r="13" spans="1:23" s="22" customFormat="1" x14ac:dyDescent="0.35">
      <c r="A13" s="218" t="s">
        <v>12</v>
      </c>
      <c r="B13" s="219"/>
      <c r="C13" s="222">
        <f t="shared" ref="C13:J13" si="6">SUM(C2:C12)</f>
        <v>3399.9999999999995</v>
      </c>
      <c r="D13" s="222">
        <f t="shared" si="6"/>
        <v>20000</v>
      </c>
      <c r="E13" s="222">
        <f t="shared" si="6"/>
        <v>2600.0000000000009</v>
      </c>
      <c r="F13" s="222">
        <f t="shared" si="6"/>
        <v>17334.666666666664</v>
      </c>
      <c r="G13" s="222">
        <f t="shared" si="6"/>
        <v>2029.9999999999998</v>
      </c>
      <c r="H13" s="222">
        <f t="shared" si="6"/>
        <v>45364.666666666672</v>
      </c>
      <c r="I13" s="222">
        <f t="shared" si="6"/>
        <v>14487</v>
      </c>
      <c r="J13" s="224">
        <f t="shared" si="6"/>
        <v>30877.666666666672</v>
      </c>
      <c r="K13"/>
      <c r="L13" s="113">
        <v>9</v>
      </c>
      <c r="M13" s="191" t="s">
        <v>8</v>
      </c>
      <c r="N13" s="192"/>
      <c r="O13" s="194">
        <v>0</v>
      </c>
      <c r="P13" s="201"/>
    </row>
    <row r="14" spans="1:23" s="22" customFormat="1" ht="15" thickBot="1" x14ac:dyDescent="0.4">
      <c r="A14" s="220"/>
      <c r="B14" s="221"/>
      <c r="C14" s="223"/>
      <c r="D14" s="223"/>
      <c r="E14" s="223"/>
      <c r="F14" s="223"/>
      <c r="G14" s="223"/>
      <c r="H14" s="223"/>
      <c r="I14" s="223"/>
      <c r="J14" s="225"/>
      <c r="K14"/>
      <c r="L14" s="113">
        <v>10</v>
      </c>
      <c r="M14" s="191" t="s">
        <v>125</v>
      </c>
      <c r="N14" s="192"/>
      <c r="O14" s="194">
        <v>0</v>
      </c>
      <c r="P14" s="201"/>
    </row>
    <row r="15" spans="1:23" ht="14.5" customHeight="1" x14ac:dyDescent="0.35">
      <c r="I15" s="98" t="s">
        <v>2</v>
      </c>
      <c r="J15" s="99">
        <f>C13</f>
        <v>3399.9999999999995</v>
      </c>
      <c r="L15" s="113">
        <v>11</v>
      </c>
      <c r="M15" s="191" t="s">
        <v>7</v>
      </c>
      <c r="N15" s="192"/>
      <c r="O15" s="190">
        <v>2386</v>
      </c>
      <c r="P15" s="200"/>
    </row>
    <row r="16" spans="1:23" ht="15" customHeight="1" x14ac:dyDescent="0.35">
      <c r="B16" s="7"/>
      <c r="H16" s="23"/>
      <c r="I16" s="100" t="s">
        <v>3</v>
      </c>
      <c r="J16" s="101">
        <f>D13</f>
        <v>20000</v>
      </c>
      <c r="L16" s="113">
        <v>12</v>
      </c>
      <c r="M16" s="191" t="s">
        <v>102</v>
      </c>
      <c r="N16" s="192"/>
      <c r="O16" s="190">
        <v>72</v>
      </c>
      <c r="P16" s="200"/>
    </row>
    <row r="17" spans="2:16" ht="15.5" x14ac:dyDescent="0.35">
      <c r="B17" s="7"/>
      <c r="H17" s="22"/>
      <c r="I17" s="100" t="s">
        <v>19</v>
      </c>
      <c r="J17" s="101">
        <f>E13</f>
        <v>2600.0000000000009</v>
      </c>
      <c r="L17" s="113">
        <v>13</v>
      </c>
      <c r="M17" s="191" t="s">
        <v>34</v>
      </c>
      <c r="N17" s="192"/>
      <c r="O17" s="190">
        <v>0</v>
      </c>
      <c r="P17" s="200"/>
    </row>
    <row r="18" spans="2:16" ht="14.5" customHeight="1" x14ac:dyDescent="0.35">
      <c r="I18" s="100" t="s">
        <v>105</v>
      </c>
      <c r="J18" s="102">
        <f>O20</f>
        <v>2848</v>
      </c>
      <c r="L18" s="113">
        <v>10</v>
      </c>
      <c r="M18" s="191" t="s">
        <v>129</v>
      </c>
      <c r="N18" s="192"/>
      <c r="O18" s="190">
        <v>8759</v>
      </c>
      <c r="P18" s="200"/>
    </row>
    <row r="19" spans="2:16" ht="15" customHeight="1" x14ac:dyDescent="0.35">
      <c r="I19" s="117" t="s">
        <v>152</v>
      </c>
      <c r="J19" s="118">
        <f>G13</f>
        <v>2029.9999999999998</v>
      </c>
      <c r="L19" s="212" t="s">
        <v>71</v>
      </c>
      <c r="M19" s="213"/>
      <c r="N19" s="214"/>
      <c r="O19" s="190">
        <f>SUM(O8:P18)</f>
        <v>14487</v>
      </c>
      <c r="P19" s="200"/>
    </row>
    <row r="20" spans="2:16" ht="16" thickBot="1" x14ac:dyDescent="0.4">
      <c r="B20" s="7"/>
      <c r="I20" s="115" t="s">
        <v>74</v>
      </c>
      <c r="J20" s="103">
        <f>SUM(J15:J19)-J13</f>
        <v>0.33333333332848269</v>
      </c>
      <c r="L20" s="212" t="s">
        <v>70</v>
      </c>
      <c r="M20" s="213"/>
      <c r="N20" s="214"/>
      <c r="O20" s="190">
        <v>2848</v>
      </c>
      <c r="P20" s="200"/>
    </row>
    <row r="21" spans="2:16" ht="16" thickBot="1" x14ac:dyDescent="0.4">
      <c r="B21" s="7"/>
      <c r="L21" s="215" t="s">
        <v>104</v>
      </c>
      <c r="M21" s="216"/>
      <c r="N21" s="217"/>
      <c r="O21" s="202">
        <f>SUM(O19:P20)</f>
        <v>17335</v>
      </c>
      <c r="P21" s="203"/>
    </row>
    <row r="22" spans="2:16" x14ac:dyDescent="0.35">
      <c r="B22" s="7"/>
    </row>
    <row r="23" spans="2:16" x14ac:dyDescent="0.35">
      <c r="B23" s="7"/>
    </row>
    <row r="24" spans="2:16" x14ac:dyDescent="0.35">
      <c r="B24" s="7"/>
      <c r="D24">
        <v>0</v>
      </c>
    </row>
    <row r="25" spans="2:16" x14ac:dyDescent="0.35">
      <c r="B25" s="7"/>
      <c r="D25">
        <v>0</v>
      </c>
    </row>
    <row r="26" spans="2:16" x14ac:dyDescent="0.35">
      <c r="B26" s="7"/>
    </row>
  </sheetData>
  <mergeCells count="41">
    <mergeCell ref="L6:L7"/>
    <mergeCell ref="M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L21:N21"/>
    <mergeCell ref="O21:P21"/>
    <mergeCell ref="M18:N18"/>
    <mergeCell ref="O18:P18"/>
    <mergeCell ref="L19:N19"/>
    <mergeCell ref="O19:P19"/>
    <mergeCell ref="L20:N20"/>
    <mergeCell ref="O20:P2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93C7-93B1-4F95-86EB-E97281054E4A}">
  <dimension ref="A1:W26"/>
  <sheetViews>
    <sheetView zoomScale="70" zoomScaleNormal="70" workbookViewId="0">
      <selection activeCell="F7" sqref="F7"/>
    </sheetView>
  </sheetViews>
  <sheetFormatPr defaultRowHeight="14.5" x14ac:dyDescent="0.35"/>
  <cols>
    <col min="1" max="1" width="5.453125" style="7" customWidth="1"/>
    <col min="2" max="2" width="11.453125" bestFit="1" customWidth="1"/>
    <col min="3" max="3" width="12.36328125" bestFit="1" customWidth="1"/>
    <col min="4" max="4" width="8.08984375" bestFit="1" customWidth="1"/>
    <col min="5" max="5" width="6.7265625" bestFit="1" customWidth="1"/>
    <col min="6" max="6" width="8.08984375" style="7" bestFit="1" customWidth="1"/>
    <col min="7" max="7" width="10.81640625" style="7" customWidth="1"/>
    <col min="8" max="8" width="9.90625" bestFit="1" customWidth="1"/>
    <col min="9" max="9" width="12.90625" style="7" bestFit="1" customWidth="1"/>
    <col min="10" max="10" width="14.6328125" style="91" customWidth="1"/>
    <col min="11" max="11" width="5.453125" customWidth="1"/>
    <col min="12" max="12" width="10.6328125" bestFit="1" customWidth="1"/>
    <col min="13" max="13" width="14" bestFit="1" customWidth="1"/>
    <col min="14" max="14" width="10.81640625" bestFit="1" customWidth="1"/>
    <col min="18" max="18" width="10.7265625" bestFit="1" customWidth="1"/>
    <col min="20" max="20" width="12.453125" customWidth="1"/>
  </cols>
  <sheetData>
    <row r="1" spans="1:23" s="48" customFormat="1" ht="47.5" customHeight="1" x14ac:dyDescent="0.35">
      <c r="A1" s="87" t="s">
        <v>0</v>
      </c>
      <c r="B1" s="88" t="s">
        <v>1</v>
      </c>
      <c r="C1" s="88" t="s">
        <v>2</v>
      </c>
      <c r="D1" s="88" t="s">
        <v>3</v>
      </c>
      <c r="E1" s="88" t="s">
        <v>19</v>
      </c>
      <c r="F1" s="89" t="s">
        <v>25</v>
      </c>
      <c r="G1" s="89" t="s">
        <v>154</v>
      </c>
      <c r="H1" s="88" t="s">
        <v>135</v>
      </c>
      <c r="I1" s="89" t="s">
        <v>33</v>
      </c>
      <c r="J1" s="90" t="s">
        <v>24</v>
      </c>
      <c r="L1" s="104"/>
      <c r="M1" s="105" t="s">
        <v>2</v>
      </c>
      <c r="N1" s="105" t="s">
        <v>3</v>
      </c>
      <c r="O1" s="105" t="s">
        <v>19</v>
      </c>
      <c r="P1" s="106" t="s">
        <v>5</v>
      </c>
      <c r="Q1" s="107" t="s">
        <v>153</v>
      </c>
    </row>
    <row r="2" spans="1:23" ht="18.5" x14ac:dyDescent="0.45">
      <c r="A2" s="29">
        <v>1</v>
      </c>
      <c r="B2" s="2" t="s">
        <v>126</v>
      </c>
      <c r="C2" s="4">
        <f t="shared" ref="C2:C12" si="0">$M$4</f>
        <v>309.09090909090907</v>
      </c>
      <c r="D2" s="4">
        <f>$N$4</f>
        <v>2000</v>
      </c>
      <c r="E2" s="4">
        <f t="shared" ref="E2:E12" si="1">$O$4</f>
        <v>333.33333333333331</v>
      </c>
      <c r="F2" s="9">
        <v>1630</v>
      </c>
      <c r="G2" s="9">
        <f t="shared" ref="G2:G12" si="2">$Q$4</f>
        <v>225.81818181818181</v>
      </c>
      <c r="H2" s="4">
        <f>SUM(C2:G2)</f>
        <v>4498.242424242424</v>
      </c>
      <c r="I2" s="8">
        <v>300</v>
      </c>
      <c r="J2" s="114">
        <f t="shared" ref="J2:J12" si="3">H2-I2</f>
        <v>4198.242424242424</v>
      </c>
      <c r="L2" s="108" t="s">
        <v>118</v>
      </c>
      <c r="M2" s="68">
        <v>11</v>
      </c>
      <c r="N2" s="68">
        <v>10</v>
      </c>
      <c r="O2" s="68">
        <v>9</v>
      </c>
      <c r="P2" s="68">
        <v>6</v>
      </c>
      <c r="Q2" s="109">
        <v>11</v>
      </c>
    </row>
    <row r="3" spans="1:23" ht="18.5" x14ac:dyDescent="0.45">
      <c r="A3" s="29">
        <v>2</v>
      </c>
      <c r="B3" s="2" t="s">
        <v>11</v>
      </c>
      <c r="C3" s="4">
        <f t="shared" si="0"/>
        <v>309.09090909090907</v>
      </c>
      <c r="D3" s="4">
        <f>$N$4</f>
        <v>2000</v>
      </c>
      <c r="E3" s="4">
        <f t="shared" si="1"/>
        <v>333.33333333333331</v>
      </c>
      <c r="F3" s="9">
        <v>1630</v>
      </c>
      <c r="G3" s="9">
        <f t="shared" si="2"/>
        <v>225.81818181818181</v>
      </c>
      <c r="H3" s="4">
        <f>SUM(C3:G3)</f>
        <v>4498.242424242424</v>
      </c>
      <c r="I3" s="8">
        <f>O9</f>
        <v>695</v>
      </c>
      <c r="J3" s="114">
        <f t="shared" si="3"/>
        <v>3803.242424242424</v>
      </c>
      <c r="L3" s="108" t="s">
        <v>133</v>
      </c>
      <c r="M3" s="2">
        <v>3400</v>
      </c>
      <c r="N3" s="2">
        <v>20000</v>
      </c>
      <c r="O3" s="2">
        <v>3000</v>
      </c>
      <c r="P3" s="2">
        <f>O21</f>
        <v>9777</v>
      </c>
      <c r="Q3" s="110">
        <v>2484</v>
      </c>
    </row>
    <row r="4" spans="1:23" ht="19" thickBot="1" x14ac:dyDescent="0.5">
      <c r="A4" s="29">
        <v>3</v>
      </c>
      <c r="B4" s="2" t="s">
        <v>128</v>
      </c>
      <c r="C4" s="4">
        <f t="shared" si="0"/>
        <v>309.09090909090907</v>
      </c>
      <c r="D4" s="4">
        <f>$N$4</f>
        <v>2000</v>
      </c>
      <c r="E4" s="4">
        <f t="shared" si="1"/>
        <v>333.33333333333331</v>
      </c>
      <c r="F4" s="9">
        <v>1630</v>
      </c>
      <c r="G4" s="9">
        <f t="shared" si="2"/>
        <v>225.81818181818181</v>
      </c>
      <c r="H4" s="4">
        <f>SUM(C4:G4)</f>
        <v>4498.242424242424</v>
      </c>
      <c r="I4" s="8">
        <f>O11</f>
        <v>776</v>
      </c>
      <c r="J4" s="114">
        <f t="shared" si="3"/>
        <v>3722.242424242424</v>
      </c>
      <c r="L4" s="111" t="s">
        <v>134</v>
      </c>
      <c r="M4" s="112">
        <f>M3/M2</f>
        <v>309.09090909090907</v>
      </c>
      <c r="N4" s="112">
        <f>N3/N2</f>
        <v>2000</v>
      </c>
      <c r="O4" s="112">
        <f>O3/O2</f>
        <v>333.33333333333331</v>
      </c>
      <c r="P4" s="112">
        <f>P3/P2</f>
        <v>1629.5</v>
      </c>
      <c r="Q4" s="116">
        <f>Q3/Q2</f>
        <v>225.81818181818181</v>
      </c>
    </row>
    <row r="5" spans="1:23" ht="19" thickBot="1" x14ac:dyDescent="0.5">
      <c r="A5" s="29">
        <v>4</v>
      </c>
      <c r="B5" s="2" t="s">
        <v>34</v>
      </c>
      <c r="C5" s="4">
        <f t="shared" si="0"/>
        <v>309.09090909090907</v>
      </c>
      <c r="D5" s="4">
        <f>$N$4</f>
        <v>2000</v>
      </c>
      <c r="E5" s="4">
        <f t="shared" si="1"/>
        <v>333.33333333333331</v>
      </c>
      <c r="F5" s="9">
        <v>0</v>
      </c>
      <c r="G5" s="9">
        <f t="shared" si="2"/>
        <v>225.81818181818181</v>
      </c>
      <c r="H5" s="4">
        <f t="shared" ref="H5:H12" si="4">SUM(C5:G5)</f>
        <v>2868.2424242424245</v>
      </c>
      <c r="I5" s="8">
        <f>O17</f>
        <v>0</v>
      </c>
      <c r="J5" s="114">
        <f t="shared" si="3"/>
        <v>2868.2424242424245</v>
      </c>
    </row>
    <row r="6" spans="1:23" ht="18.5" x14ac:dyDescent="0.45">
      <c r="A6" s="92">
        <v>5</v>
      </c>
      <c r="B6" s="93" t="s">
        <v>8</v>
      </c>
      <c r="C6" s="94">
        <f t="shared" si="0"/>
        <v>309.09090909090907</v>
      </c>
      <c r="D6" s="94">
        <v>0</v>
      </c>
      <c r="E6" s="94">
        <f t="shared" si="1"/>
        <v>333.33333333333331</v>
      </c>
      <c r="F6" s="95">
        <v>1629</v>
      </c>
      <c r="G6" s="95">
        <f t="shared" si="2"/>
        <v>225.81818181818181</v>
      </c>
      <c r="H6" s="94">
        <f t="shared" si="4"/>
        <v>2497.2424242424245</v>
      </c>
      <c r="I6" s="96">
        <f>O13</f>
        <v>70</v>
      </c>
      <c r="J6" s="97">
        <f t="shared" si="3"/>
        <v>2427.2424242424245</v>
      </c>
      <c r="L6" s="204" t="s">
        <v>0</v>
      </c>
      <c r="M6" s="206" t="s">
        <v>69</v>
      </c>
      <c r="N6" s="207"/>
      <c r="O6" s="207"/>
      <c r="P6" s="208"/>
      <c r="V6">
        <v>0</v>
      </c>
    </row>
    <row r="7" spans="1:23" ht="18.5" x14ac:dyDescent="0.45">
      <c r="A7" s="29">
        <v>6</v>
      </c>
      <c r="B7" s="2" t="s">
        <v>131</v>
      </c>
      <c r="C7" s="4">
        <f t="shared" si="0"/>
        <v>309.09090909090907</v>
      </c>
      <c r="D7" s="4">
        <f t="shared" ref="D7:D12" si="5">$N$4</f>
        <v>2000</v>
      </c>
      <c r="E7" s="4">
        <f t="shared" si="1"/>
        <v>333.33333333333331</v>
      </c>
      <c r="F7" s="9">
        <v>1629</v>
      </c>
      <c r="G7" s="9">
        <f t="shared" si="2"/>
        <v>225.81818181818181</v>
      </c>
      <c r="H7" s="4">
        <f t="shared" si="4"/>
        <v>4497.242424242424</v>
      </c>
      <c r="I7" s="8">
        <f>O8</f>
        <v>180</v>
      </c>
      <c r="J7" s="114">
        <f t="shared" si="3"/>
        <v>4317.242424242424</v>
      </c>
      <c r="L7" s="205"/>
      <c r="M7" s="209" t="s">
        <v>1</v>
      </c>
      <c r="N7" s="210"/>
      <c r="O7" s="209" t="s">
        <v>103</v>
      </c>
      <c r="P7" s="211"/>
    </row>
    <row r="8" spans="1:23" ht="18.5" x14ac:dyDescent="0.45">
      <c r="A8" s="29">
        <v>7</v>
      </c>
      <c r="B8" s="2" t="s">
        <v>125</v>
      </c>
      <c r="C8" s="4">
        <f t="shared" si="0"/>
        <v>309.09090909090907</v>
      </c>
      <c r="D8" s="4">
        <f t="shared" si="5"/>
        <v>2000</v>
      </c>
      <c r="E8" s="4">
        <v>0</v>
      </c>
      <c r="F8" s="123">
        <v>0</v>
      </c>
      <c r="G8" s="9">
        <f t="shared" si="2"/>
        <v>225.81818181818181</v>
      </c>
      <c r="H8" s="4">
        <f t="shared" si="4"/>
        <v>2534.909090909091</v>
      </c>
      <c r="I8" s="8">
        <f>O14</f>
        <v>0</v>
      </c>
      <c r="J8" s="114">
        <f t="shared" si="3"/>
        <v>2534.909090909091</v>
      </c>
      <c r="L8" s="113">
        <v>1</v>
      </c>
      <c r="M8" s="191" t="s">
        <v>130</v>
      </c>
      <c r="N8" s="192"/>
      <c r="O8" s="194">
        <v>180</v>
      </c>
      <c r="P8" s="201"/>
      <c r="V8">
        <v>0</v>
      </c>
    </row>
    <row r="9" spans="1:23" ht="18.5" x14ac:dyDescent="0.45">
      <c r="A9" s="80">
        <v>8</v>
      </c>
      <c r="B9" s="3" t="s">
        <v>102</v>
      </c>
      <c r="C9" s="4">
        <f t="shared" si="0"/>
        <v>309.09090909090907</v>
      </c>
      <c r="D9" s="4">
        <f t="shared" si="5"/>
        <v>2000</v>
      </c>
      <c r="E9" s="4">
        <v>0</v>
      </c>
      <c r="F9" s="9">
        <v>0</v>
      </c>
      <c r="G9" s="9">
        <f t="shared" si="2"/>
        <v>225.81818181818181</v>
      </c>
      <c r="H9" s="4">
        <f t="shared" si="4"/>
        <v>2534.909090909091</v>
      </c>
      <c r="I9" s="8">
        <f>O16</f>
        <v>0</v>
      </c>
      <c r="J9" s="114">
        <f>H9-I9</f>
        <v>2534.909090909091</v>
      </c>
      <c r="L9" s="113">
        <v>2</v>
      </c>
      <c r="M9" s="191" t="s">
        <v>11</v>
      </c>
      <c r="N9" s="192"/>
      <c r="O9" s="194">
        <v>695</v>
      </c>
      <c r="P9" s="201"/>
    </row>
    <row r="10" spans="1:23" ht="18.5" x14ac:dyDescent="0.45">
      <c r="A10" s="29">
        <v>9</v>
      </c>
      <c r="B10" s="3" t="s">
        <v>132</v>
      </c>
      <c r="C10" s="4">
        <f t="shared" si="0"/>
        <v>309.09090909090907</v>
      </c>
      <c r="D10" s="4">
        <f t="shared" si="5"/>
        <v>2000</v>
      </c>
      <c r="E10" s="4">
        <f t="shared" si="1"/>
        <v>333.33333333333331</v>
      </c>
      <c r="F10" s="9">
        <v>0</v>
      </c>
      <c r="G10" s="9">
        <f t="shared" si="2"/>
        <v>225.81818181818181</v>
      </c>
      <c r="H10" s="4">
        <f t="shared" si="4"/>
        <v>2868.2424242424245</v>
      </c>
      <c r="I10" s="8">
        <f>O15</f>
        <v>1250</v>
      </c>
      <c r="J10" s="114">
        <f t="shared" si="3"/>
        <v>1618.2424242424245</v>
      </c>
      <c r="L10" s="113">
        <v>3</v>
      </c>
      <c r="M10" s="191" t="s">
        <v>126</v>
      </c>
      <c r="N10" s="192"/>
      <c r="O10" s="194">
        <v>300</v>
      </c>
      <c r="P10" s="201"/>
    </row>
    <row r="11" spans="1:23" s="22" customFormat="1" ht="18.5" x14ac:dyDescent="0.45">
      <c r="A11" s="29">
        <v>10</v>
      </c>
      <c r="B11" s="3" t="s">
        <v>129</v>
      </c>
      <c r="C11" s="4">
        <f t="shared" si="0"/>
        <v>309.09090909090907</v>
      </c>
      <c r="D11" s="4">
        <f t="shared" si="5"/>
        <v>2000</v>
      </c>
      <c r="E11" s="4">
        <f t="shared" si="1"/>
        <v>333.33333333333331</v>
      </c>
      <c r="F11" s="9">
        <v>1629</v>
      </c>
      <c r="G11" s="9">
        <f t="shared" si="2"/>
        <v>225.81818181818181</v>
      </c>
      <c r="H11" s="4">
        <f t="shared" si="4"/>
        <v>4497.242424242424</v>
      </c>
      <c r="I11" s="8">
        <f>O18</f>
        <v>3406</v>
      </c>
      <c r="J11" s="114">
        <f t="shared" si="3"/>
        <v>1091.242424242424</v>
      </c>
      <c r="K11"/>
      <c r="L11" s="113">
        <v>4</v>
      </c>
      <c r="M11" s="191" t="s">
        <v>128</v>
      </c>
      <c r="N11" s="192"/>
      <c r="O11" s="194">
        <v>776</v>
      </c>
      <c r="P11" s="201"/>
      <c r="W11" s="22">
        <v>0</v>
      </c>
    </row>
    <row r="12" spans="1:23" s="22" customFormat="1" ht="18.5" x14ac:dyDescent="0.45">
      <c r="A12" s="121">
        <v>11</v>
      </c>
      <c r="B12" s="122" t="s">
        <v>145</v>
      </c>
      <c r="C12" s="4">
        <f t="shared" si="0"/>
        <v>309.09090909090907</v>
      </c>
      <c r="D12" s="4">
        <f t="shared" si="5"/>
        <v>2000</v>
      </c>
      <c r="E12" s="4">
        <f t="shared" si="1"/>
        <v>333.33333333333331</v>
      </c>
      <c r="F12" s="9">
        <v>0</v>
      </c>
      <c r="G12" s="9">
        <f t="shared" si="2"/>
        <v>225.81818181818181</v>
      </c>
      <c r="H12" s="4">
        <f t="shared" si="4"/>
        <v>2868.2424242424245</v>
      </c>
      <c r="I12" s="8">
        <f>O12</f>
        <v>0</v>
      </c>
      <c r="J12" s="114">
        <f t="shared" si="3"/>
        <v>2868.2424242424245</v>
      </c>
      <c r="K12"/>
      <c r="L12" s="113">
        <v>5</v>
      </c>
      <c r="M12" s="191" t="str">
        <f>B12</f>
        <v>Ruban</v>
      </c>
      <c r="N12" s="192"/>
      <c r="O12" s="194">
        <v>0</v>
      </c>
      <c r="P12" s="201"/>
      <c r="W12" s="22">
        <v>0</v>
      </c>
    </row>
    <row r="13" spans="1:23" s="22" customFormat="1" x14ac:dyDescent="0.35">
      <c r="A13" s="218" t="s">
        <v>12</v>
      </c>
      <c r="B13" s="219"/>
      <c r="C13" s="222">
        <f t="shared" ref="C13:J13" si="6">SUM(C2:C12)</f>
        <v>3399.9999999999995</v>
      </c>
      <c r="D13" s="222">
        <f t="shared" si="6"/>
        <v>20000</v>
      </c>
      <c r="E13" s="222">
        <f t="shared" si="6"/>
        <v>3000</v>
      </c>
      <c r="F13" s="222">
        <f t="shared" si="6"/>
        <v>9777</v>
      </c>
      <c r="G13" s="222">
        <f t="shared" si="6"/>
        <v>2484</v>
      </c>
      <c r="H13" s="222">
        <f t="shared" si="6"/>
        <v>38661</v>
      </c>
      <c r="I13" s="222">
        <f t="shared" si="6"/>
        <v>6677</v>
      </c>
      <c r="J13" s="224">
        <f t="shared" si="6"/>
        <v>31984</v>
      </c>
      <c r="K13"/>
      <c r="L13" s="113">
        <v>9</v>
      </c>
      <c r="M13" s="191" t="s">
        <v>8</v>
      </c>
      <c r="N13" s="192"/>
      <c r="O13" s="194">
        <v>70</v>
      </c>
      <c r="P13" s="201"/>
    </row>
    <row r="14" spans="1:23" s="22" customFormat="1" ht="15" thickBot="1" x14ac:dyDescent="0.4">
      <c r="A14" s="220"/>
      <c r="B14" s="221"/>
      <c r="C14" s="223"/>
      <c r="D14" s="223"/>
      <c r="E14" s="223"/>
      <c r="F14" s="223"/>
      <c r="G14" s="223"/>
      <c r="H14" s="223"/>
      <c r="I14" s="223"/>
      <c r="J14" s="225"/>
      <c r="K14"/>
      <c r="L14" s="113">
        <v>10</v>
      </c>
      <c r="M14" s="191" t="s">
        <v>125</v>
      </c>
      <c r="N14" s="192"/>
      <c r="O14" s="194">
        <v>0</v>
      </c>
      <c r="P14" s="201"/>
    </row>
    <row r="15" spans="1:23" ht="14.5" customHeight="1" x14ac:dyDescent="0.35">
      <c r="I15" s="98" t="s">
        <v>2</v>
      </c>
      <c r="J15" s="99">
        <f>C13</f>
        <v>3399.9999999999995</v>
      </c>
      <c r="L15" s="113">
        <v>11</v>
      </c>
      <c r="M15" s="191" t="s">
        <v>7</v>
      </c>
      <c r="N15" s="192"/>
      <c r="O15" s="190">
        <v>1250</v>
      </c>
      <c r="P15" s="200"/>
    </row>
    <row r="16" spans="1:23" ht="15" customHeight="1" x14ac:dyDescent="0.35">
      <c r="B16" s="7"/>
      <c r="H16" s="23"/>
      <c r="I16" s="100" t="s">
        <v>3</v>
      </c>
      <c r="J16" s="101">
        <f>D13</f>
        <v>20000</v>
      </c>
      <c r="L16" s="113">
        <v>12</v>
      </c>
      <c r="M16" s="191" t="s">
        <v>102</v>
      </c>
      <c r="N16" s="192"/>
      <c r="O16" s="190">
        <v>0</v>
      </c>
      <c r="P16" s="200"/>
    </row>
    <row r="17" spans="2:16" ht="15.5" x14ac:dyDescent="0.35">
      <c r="B17" s="7"/>
      <c r="H17" s="22"/>
      <c r="I17" s="100" t="s">
        <v>19</v>
      </c>
      <c r="J17" s="101">
        <f>E13</f>
        <v>3000</v>
      </c>
      <c r="L17" s="113">
        <v>13</v>
      </c>
      <c r="M17" s="191" t="s">
        <v>34</v>
      </c>
      <c r="N17" s="192"/>
      <c r="O17" s="190">
        <v>0</v>
      </c>
      <c r="P17" s="200"/>
    </row>
    <row r="18" spans="2:16" ht="14.5" customHeight="1" x14ac:dyDescent="0.35">
      <c r="I18" s="100" t="s">
        <v>105</v>
      </c>
      <c r="J18" s="102">
        <f>O20</f>
        <v>3100</v>
      </c>
      <c r="L18" s="113">
        <v>10</v>
      </c>
      <c r="M18" s="191" t="s">
        <v>129</v>
      </c>
      <c r="N18" s="192"/>
      <c r="O18" s="190">
        <v>3406</v>
      </c>
      <c r="P18" s="200"/>
    </row>
    <row r="19" spans="2:16" ht="15" customHeight="1" x14ac:dyDescent="0.35">
      <c r="I19" s="117" t="s">
        <v>154</v>
      </c>
      <c r="J19" s="118">
        <f>G13</f>
        <v>2484</v>
      </c>
      <c r="L19" s="212" t="s">
        <v>71</v>
      </c>
      <c r="M19" s="213"/>
      <c r="N19" s="214"/>
      <c r="O19" s="190">
        <f>SUM(O8:P18)</f>
        <v>6677</v>
      </c>
      <c r="P19" s="200"/>
    </row>
    <row r="20" spans="2:16" ht="16" thickBot="1" x14ac:dyDescent="0.4">
      <c r="B20" s="7"/>
      <c r="I20" s="115" t="s">
        <v>74</v>
      </c>
      <c r="J20" s="103">
        <f>SUM(J15:J19)-J13</f>
        <v>0</v>
      </c>
      <c r="L20" s="212" t="s">
        <v>70</v>
      </c>
      <c r="M20" s="213"/>
      <c r="N20" s="214"/>
      <c r="O20" s="190">
        <v>3100</v>
      </c>
      <c r="P20" s="200"/>
    </row>
    <row r="21" spans="2:16" ht="16" thickBot="1" x14ac:dyDescent="0.4">
      <c r="B21" s="7"/>
      <c r="L21" s="215" t="s">
        <v>104</v>
      </c>
      <c r="M21" s="216"/>
      <c r="N21" s="217"/>
      <c r="O21" s="202">
        <f>SUM(O19:P20)</f>
        <v>9777</v>
      </c>
      <c r="P21" s="203"/>
    </row>
    <row r="22" spans="2:16" x14ac:dyDescent="0.35">
      <c r="B22" s="7"/>
    </row>
    <row r="23" spans="2:16" x14ac:dyDescent="0.35">
      <c r="B23" s="7"/>
    </row>
    <row r="24" spans="2:16" x14ac:dyDescent="0.35">
      <c r="B24" s="7"/>
      <c r="D24">
        <v>0</v>
      </c>
    </row>
    <row r="25" spans="2:16" x14ac:dyDescent="0.35">
      <c r="B25" s="7"/>
      <c r="D25">
        <v>0</v>
      </c>
    </row>
    <row r="26" spans="2:16" x14ac:dyDescent="0.35">
      <c r="B26" s="7"/>
    </row>
  </sheetData>
  <mergeCells count="41">
    <mergeCell ref="L21:N21"/>
    <mergeCell ref="O21:P21"/>
    <mergeCell ref="M18:N18"/>
    <mergeCell ref="O18:P18"/>
    <mergeCell ref="L19:N19"/>
    <mergeCell ref="O19:P19"/>
    <mergeCell ref="L20:N20"/>
    <mergeCell ref="O20:P20"/>
    <mergeCell ref="M16:N16"/>
    <mergeCell ref="O16:P16"/>
    <mergeCell ref="M17:N17"/>
    <mergeCell ref="O17:P17"/>
    <mergeCell ref="M15:N15"/>
    <mergeCell ref="O15:P15"/>
    <mergeCell ref="M12:N12"/>
    <mergeCell ref="O12:P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M13:N13"/>
    <mergeCell ref="O13:P13"/>
    <mergeCell ref="M14:N14"/>
    <mergeCell ref="O14:P14"/>
    <mergeCell ref="M9:N9"/>
    <mergeCell ref="O9:P9"/>
    <mergeCell ref="M10:N10"/>
    <mergeCell ref="O10:P10"/>
    <mergeCell ref="M11:N11"/>
    <mergeCell ref="O11:P11"/>
    <mergeCell ref="L6:L7"/>
    <mergeCell ref="M6:P6"/>
    <mergeCell ref="M7:N7"/>
    <mergeCell ref="O7:P7"/>
    <mergeCell ref="M8:N8"/>
    <mergeCell ref="O8:P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B438-09D9-4EF0-BED4-F2DB4B0A7F26}">
  <dimension ref="A1:Q21"/>
  <sheetViews>
    <sheetView zoomScale="85" zoomScaleNormal="85" workbookViewId="0">
      <selection activeCell="F7" sqref="F7"/>
    </sheetView>
  </sheetViews>
  <sheetFormatPr defaultRowHeight="14.5" x14ac:dyDescent="0.35"/>
  <cols>
    <col min="4" max="4" width="10.7265625" customWidth="1"/>
    <col min="5" max="5" width="11.36328125" customWidth="1"/>
    <col min="6" max="6" width="10.6328125" customWidth="1"/>
    <col min="8" max="8" width="16.7265625" customWidth="1"/>
    <col min="9" max="9" width="13.453125" customWidth="1"/>
  </cols>
  <sheetData>
    <row r="1" spans="1:17" ht="29" x14ac:dyDescent="0.35">
      <c r="A1" s="87" t="s">
        <v>0</v>
      </c>
      <c r="B1" s="88" t="s">
        <v>1</v>
      </c>
      <c r="C1" s="88" t="s">
        <v>2</v>
      </c>
      <c r="D1" s="88" t="s">
        <v>3</v>
      </c>
      <c r="E1" s="88" t="s">
        <v>19</v>
      </c>
      <c r="F1" s="89" t="s">
        <v>25</v>
      </c>
      <c r="G1" s="89" t="s">
        <v>156</v>
      </c>
      <c r="H1" s="88" t="s">
        <v>135</v>
      </c>
      <c r="I1" s="89" t="s">
        <v>33</v>
      </c>
      <c r="J1" s="90" t="s">
        <v>24</v>
      </c>
      <c r="L1" s="104"/>
      <c r="M1" s="105" t="s">
        <v>2</v>
      </c>
      <c r="N1" s="105" t="s">
        <v>3</v>
      </c>
      <c r="O1" s="105" t="s">
        <v>19</v>
      </c>
      <c r="P1" s="106" t="s">
        <v>5</v>
      </c>
      <c r="Q1" s="107" t="s">
        <v>155</v>
      </c>
    </row>
    <row r="2" spans="1:17" ht="18.5" x14ac:dyDescent="0.45">
      <c r="A2" s="29">
        <v>1</v>
      </c>
      <c r="B2" s="2" t="s">
        <v>126</v>
      </c>
      <c r="C2" s="4">
        <f t="shared" ref="C2:C12" si="0">$M$4</f>
        <v>309.09090909090907</v>
      </c>
      <c r="D2" s="4">
        <f>$N$4</f>
        <v>2000</v>
      </c>
      <c r="E2" s="4">
        <f t="shared" ref="E2:E11" si="1">$O$4</f>
        <v>550</v>
      </c>
      <c r="F2" s="9">
        <v>2116</v>
      </c>
      <c r="G2" s="9">
        <f t="shared" ref="G2:G12" si="2">$Q$4</f>
        <v>188.22222222222223</v>
      </c>
      <c r="H2" s="4">
        <f>SUM(C2:G2)</f>
        <v>5163.3131313131316</v>
      </c>
      <c r="I2" s="8">
        <v>870</v>
      </c>
      <c r="J2" s="114">
        <f t="shared" ref="J2:J12" si="3">H2-I2</f>
        <v>4293.3131313131316</v>
      </c>
      <c r="L2" s="108" t="s">
        <v>118</v>
      </c>
      <c r="M2" s="68">
        <v>11</v>
      </c>
      <c r="N2" s="68">
        <v>10</v>
      </c>
      <c r="O2" s="68">
        <v>8</v>
      </c>
      <c r="P2" s="68">
        <v>6</v>
      </c>
      <c r="Q2" s="109">
        <v>9</v>
      </c>
    </row>
    <row r="3" spans="1:17" ht="18.5" x14ac:dyDescent="0.45">
      <c r="A3" s="29">
        <v>2</v>
      </c>
      <c r="B3" s="2" t="s">
        <v>11</v>
      </c>
      <c r="C3" s="4">
        <f t="shared" si="0"/>
        <v>309.09090909090907</v>
      </c>
      <c r="D3" s="4">
        <f>$N$4</f>
        <v>2000</v>
      </c>
      <c r="E3" s="4">
        <f t="shared" si="1"/>
        <v>550</v>
      </c>
      <c r="F3" s="9">
        <v>2116</v>
      </c>
      <c r="G3" s="9">
        <f t="shared" si="2"/>
        <v>188.22222222222223</v>
      </c>
      <c r="H3" s="4">
        <f>SUM(C3:G3)</f>
        <v>5163.3131313131316</v>
      </c>
      <c r="I3" s="8">
        <f>O9</f>
        <v>1184</v>
      </c>
      <c r="J3" s="114">
        <f t="shared" si="3"/>
        <v>3979.3131313131316</v>
      </c>
      <c r="L3" s="108" t="s">
        <v>133</v>
      </c>
      <c r="M3" s="2">
        <v>3400</v>
      </c>
      <c r="N3" s="2">
        <v>20000</v>
      </c>
      <c r="O3" s="2">
        <v>4400</v>
      </c>
      <c r="P3" s="2">
        <f>O21</f>
        <v>12696</v>
      </c>
      <c r="Q3" s="110">
        <v>1694</v>
      </c>
    </row>
    <row r="4" spans="1:17" ht="19" thickBot="1" x14ac:dyDescent="0.5">
      <c r="A4" s="29">
        <v>3</v>
      </c>
      <c r="B4" s="2" t="s">
        <v>128</v>
      </c>
      <c r="C4" s="4">
        <f t="shared" si="0"/>
        <v>309.09090909090907</v>
      </c>
      <c r="D4" s="4">
        <f>$N$4</f>
        <v>2000</v>
      </c>
      <c r="E4" s="4">
        <f t="shared" si="1"/>
        <v>550</v>
      </c>
      <c r="F4" s="9">
        <v>2116</v>
      </c>
      <c r="G4" s="9">
        <f t="shared" si="2"/>
        <v>188.22222222222223</v>
      </c>
      <c r="H4" s="4">
        <f>SUM(C4:G4)</f>
        <v>5163.3131313131316</v>
      </c>
      <c r="I4" s="8">
        <f>O11</f>
        <v>2845</v>
      </c>
      <c r="J4" s="114">
        <f t="shared" si="3"/>
        <v>2318.3131313131316</v>
      </c>
      <c r="L4" s="111" t="s">
        <v>134</v>
      </c>
      <c r="M4" s="112">
        <f>M3/M2</f>
        <v>309.09090909090907</v>
      </c>
      <c r="N4" s="112">
        <f>N3/N2</f>
        <v>2000</v>
      </c>
      <c r="O4" s="112">
        <f>O3/O2</f>
        <v>550</v>
      </c>
      <c r="P4" s="112">
        <f>P3/P2</f>
        <v>2116</v>
      </c>
      <c r="Q4" s="116">
        <f>Q3/Q2</f>
        <v>188.22222222222223</v>
      </c>
    </row>
    <row r="5" spans="1:17" ht="19" thickBot="1" x14ac:dyDescent="0.5">
      <c r="A5" s="29">
        <v>4</v>
      </c>
      <c r="B5" s="2" t="s">
        <v>34</v>
      </c>
      <c r="C5" s="4">
        <f t="shared" si="0"/>
        <v>309.09090909090907</v>
      </c>
      <c r="D5" s="4">
        <f>$N$4</f>
        <v>2000</v>
      </c>
      <c r="E5" s="4">
        <v>200</v>
      </c>
      <c r="F5" s="9">
        <v>0</v>
      </c>
      <c r="G5" s="9">
        <v>0</v>
      </c>
      <c r="H5" s="4">
        <f t="shared" ref="H5:H12" si="4">SUM(C5:G5)</f>
        <v>2509.090909090909</v>
      </c>
      <c r="I5" s="8">
        <f>O17</f>
        <v>0</v>
      </c>
      <c r="J5" s="114">
        <f t="shared" si="3"/>
        <v>2509.090909090909</v>
      </c>
    </row>
    <row r="6" spans="1:17" ht="18.5" x14ac:dyDescent="0.45">
      <c r="A6" s="92">
        <v>5</v>
      </c>
      <c r="B6" s="93" t="s">
        <v>8</v>
      </c>
      <c r="C6" s="94">
        <f t="shared" si="0"/>
        <v>309.09090909090907</v>
      </c>
      <c r="D6" s="94">
        <v>0</v>
      </c>
      <c r="E6" s="94">
        <f t="shared" si="1"/>
        <v>550</v>
      </c>
      <c r="F6" s="95">
        <v>2116</v>
      </c>
      <c r="G6" s="95">
        <f t="shared" si="2"/>
        <v>188.22222222222223</v>
      </c>
      <c r="H6" s="94">
        <f t="shared" si="4"/>
        <v>3163.3131313131312</v>
      </c>
      <c r="I6" s="96">
        <f>O13</f>
        <v>0</v>
      </c>
      <c r="J6" s="97">
        <f t="shared" si="3"/>
        <v>3163.3131313131312</v>
      </c>
      <c r="L6" s="204" t="s">
        <v>0</v>
      </c>
      <c r="M6" s="206" t="s">
        <v>69</v>
      </c>
      <c r="N6" s="207"/>
      <c r="O6" s="207"/>
      <c r="P6" s="208"/>
    </row>
    <row r="7" spans="1:17" ht="18.5" x14ac:dyDescent="0.45">
      <c r="A7" s="29">
        <v>6</v>
      </c>
      <c r="B7" s="2" t="s">
        <v>131</v>
      </c>
      <c r="C7" s="4">
        <f t="shared" si="0"/>
        <v>309.09090909090907</v>
      </c>
      <c r="D7" s="4">
        <f t="shared" ref="D7:D12" si="5">$N$4</f>
        <v>2000</v>
      </c>
      <c r="E7" s="4">
        <f t="shared" si="1"/>
        <v>550</v>
      </c>
      <c r="F7" s="95">
        <v>2116</v>
      </c>
      <c r="G7" s="9">
        <f t="shared" si="2"/>
        <v>188.22222222222223</v>
      </c>
      <c r="H7" s="4">
        <f t="shared" si="4"/>
        <v>5163.3131313131316</v>
      </c>
      <c r="I7" s="8">
        <f>O8</f>
        <v>1970</v>
      </c>
      <c r="J7" s="114">
        <f t="shared" si="3"/>
        <v>3193.3131313131316</v>
      </c>
      <c r="L7" s="205"/>
      <c r="M7" s="209" t="s">
        <v>1</v>
      </c>
      <c r="N7" s="210"/>
      <c r="O7" s="209" t="s">
        <v>103</v>
      </c>
      <c r="P7" s="211"/>
    </row>
    <row r="8" spans="1:17" ht="18.5" x14ac:dyDescent="0.45">
      <c r="A8" s="29">
        <v>7</v>
      </c>
      <c r="B8" s="2" t="s">
        <v>125</v>
      </c>
      <c r="C8" s="4">
        <f t="shared" si="0"/>
        <v>309.09090909090907</v>
      </c>
      <c r="D8" s="4">
        <f t="shared" si="5"/>
        <v>2000</v>
      </c>
      <c r="E8" s="4">
        <v>550</v>
      </c>
      <c r="F8" s="123">
        <v>0</v>
      </c>
      <c r="G8" s="9">
        <f t="shared" si="2"/>
        <v>188.22222222222223</v>
      </c>
      <c r="H8" s="4">
        <f t="shared" si="4"/>
        <v>3047.3131313131312</v>
      </c>
      <c r="I8" s="8">
        <f>O14</f>
        <v>0</v>
      </c>
      <c r="J8" s="114">
        <f t="shared" si="3"/>
        <v>3047.3131313131312</v>
      </c>
      <c r="L8" s="113">
        <v>1</v>
      </c>
      <c r="M8" s="191" t="s">
        <v>130</v>
      </c>
      <c r="N8" s="192"/>
      <c r="O8" s="194">
        <v>1970</v>
      </c>
      <c r="P8" s="201"/>
    </row>
    <row r="9" spans="1:17" ht="18.5" x14ac:dyDescent="0.45">
      <c r="A9" s="80">
        <v>8</v>
      </c>
      <c r="B9" s="3" t="s">
        <v>102</v>
      </c>
      <c r="C9" s="4">
        <f t="shared" si="0"/>
        <v>309.09090909090907</v>
      </c>
      <c r="D9" s="4">
        <f t="shared" si="5"/>
        <v>2000</v>
      </c>
      <c r="E9" s="4">
        <v>200</v>
      </c>
      <c r="F9" s="9">
        <v>0</v>
      </c>
      <c r="G9" s="9">
        <v>0</v>
      </c>
      <c r="H9" s="4">
        <f t="shared" si="4"/>
        <v>2509.090909090909</v>
      </c>
      <c r="I9" s="8">
        <f>O16</f>
        <v>884</v>
      </c>
      <c r="J9" s="114">
        <f>H9-I9</f>
        <v>1625.090909090909</v>
      </c>
      <c r="L9" s="113">
        <v>2</v>
      </c>
      <c r="M9" s="191" t="s">
        <v>11</v>
      </c>
      <c r="N9" s="192"/>
      <c r="O9" s="194">
        <v>1184</v>
      </c>
      <c r="P9" s="201"/>
    </row>
    <row r="10" spans="1:17" ht="18.5" x14ac:dyDescent="0.45">
      <c r="A10" s="29">
        <v>9</v>
      </c>
      <c r="B10" s="3" t="s">
        <v>132</v>
      </c>
      <c r="C10" s="4">
        <f t="shared" si="0"/>
        <v>309.09090909090907</v>
      </c>
      <c r="D10" s="4">
        <f t="shared" si="5"/>
        <v>2000</v>
      </c>
      <c r="E10" s="4">
        <f t="shared" si="1"/>
        <v>550</v>
      </c>
      <c r="F10" s="9">
        <v>0</v>
      </c>
      <c r="G10" s="9">
        <f t="shared" si="2"/>
        <v>188.22222222222223</v>
      </c>
      <c r="H10" s="4">
        <f t="shared" si="4"/>
        <v>3047.3131313131312</v>
      </c>
      <c r="I10" s="8">
        <f>O15</f>
        <v>0</v>
      </c>
      <c r="J10" s="114">
        <f t="shared" si="3"/>
        <v>3047.3131313131312</v>
      </c>
      <c r="L10" s="113">
        <v>3</v>
      </c>
      <c r="M10" s="191" t="s">
        <v>126</v>
      </c>
      <c r="N10" s="192"/>
      <c r="O10" s="194">
        <v>870</v>
      </c>
      <c r="P10" s="201"/>
    </row>
    <row r="11" spans="1:17" ht="18.5" x14ac:dyDescent="0.45">
      <c r="A11" s="29">
        <v>10</v>
      </c>
      <c r="B11" s="3" t="s">
        <v>129</v>
      </c>
      <c r="C11" s="4">
        <f t="shared" si="0"/>
        <v>309.09090909090907</v>
      </c>
      <c r="D11" s="4">
        <f t="shared" si="5"/>
        <v>2000</v>
      </c>
      <c r="E11" s="4">
        <f t="shared" si="1"/>
        <v>550</v>
      </c>
      <c r="F11" s="9">
        <v>2116</v>
      </c>
      <c r="G11" s="9">
        <f t="shared" si="2"/>
        <v>188.22222222222223</v>
      </c>
      <c r="H11" s="4">
        <f t="shared" si="4"/>
        <v>5163.3131313131316</v>
      </c>
      <c r="I11" s="8">
        <f>O18</f>
        <v>1490</v>
      </c>
      <c r="J11" s="114">
        <f t="shared" si="3"/>
        <v>3673.3131313131316</v>
      </c>
      <c r="L11" s="113">
        <v>4</v>
      </c>
      <c r="M11" s="191" t="s">
        <v>128</v>
      </c>
      <c r="N11" s="192"/>
      <c r="O11" s="194">
        <v>2845</v>
      </c>
      <c r="P11" s="201"/>
    </row>
    <row r="12" spans="1:17" ht="18.5" x14ac:dyDescent="0.45">
      <c r="A12" s="121">
        <v>11</v>
      </c>
      <c r="B12" s="122" t="s">
        <v>145</v>
      </c>
      <c r="C12" s="4">
        <f t="shared" si="0"/>
        <v>309.09090909090907</v>
      </c>
      <c r="D12" s="4">
        <f t="shared" si="5"/>
        <v>2000</v>
      </c>
      <c r="E12" s="4">
        <v>200</v>
      </c>
      <c r="F12" s="9">
        <v>0</v>
      </c>
      <c r="G12" s="9">
        <f t="shared" si="2"/>
        <v>188.22222222222223</v>
      </c>
      <c r="H12" s="4">
        <f t="shared" si="4"/>
        <v>2697.3131313131312</v>
      </c>
      <c r="I12" s="8">
        <f>O12</f>
        <v>0</v>
      </c>
      <c r="J12" s="114">
        <f t="shared" si="3"/>
        <v>2697.3131313131312</v>
      </c>
      <c r="L12" s="113">
        <v>5</v>
      </c>
      <c r="M12" s="191" t="str">
        <f>B12</f>
        <v>Ruban</v>
      </c>
      <c r="N12" s="192"/>
      <c r="O12" s="194">
        <v>0</v>
      </c>
      <c r="P12" s="201"/>
    </row>
    <row r="13" spans="1:17" x14ac:dyDescent="0.35">
      <c r="A13" s="218" t="s">
        <v>12</v>
      </c>
      <c r="B13" s="219"/>
      <c r="C13" s="222">
        <f t="shared" ref="C13:J13" si="6">SUM(C2:C12)</f>
        <v>3399.9999999999995</v>
      </c>
      <c r="D13" s="222">
        <f t="shared" si="6"/>
        <v>20000</v>
      </c>
      <c r="E13" s="222">
        <f t="shared" si="6"/>
        <v>5000</v>
      </c>
      <c r="F13" s="222">
        <f t="shared" si="6"/>
        <v>12696</v>
      </c>
      <c r="G13" s="222">
        <f t="shared" si="6"/>
        <v>1693.9999999999998</v>
      </c>
      <c r="H13" s="222">
        <f t="shared" si="6"/>
        <v>42790</v>
      </c>
      <c r="I13" s="222">
        <f t="shared" si="6"/>
        <v>9243</v>
      </c>
      <c r="J13" s="224">
        <f t="shared" si="6"/>
        <v>33547</v>
      </c>
      <c r="L13" s="113">
        <v>9</v>
      </c>
      <c r="M13" s="191" t="s">
        <v>8</v>
      </c>
      <c r="N13" s="192"/>
      <c r="O13" s="194">
        <v>0</v>
      </c>
      <c r="P13" s="201"/>
    </row>
    <row r="14" spans="1:17" ht="15" thickBot="1" x14ac:dyDescent="0.4">
      <c r="A14" s="220"/>
      <c r="B14" s="221"/>
      <c r="C14" s="223"/>
      <c r="D14" s="223"/>
      <c r="E14" s="223"/>
      <c r="F14" s="223"/>
      <c r="G14" s="223"/>
      <c r="H14" s="223"/>
      <c r="I14" s="223"/>
      <c r="J14" s="225"/>
      <c r="L14" s="113">
        <v>10</v>
      </c>
      <c r="M14" s="191" t="s">
        <v>125</v>
      </c>
      <c r="N14" s="192"/>
      <c r="O14" s="194">
        <v>0</v>
      </c>
      <c r="P14" s="201"/>
    </row>
    <row r="15" spans="1:17" ht="15.5" x14ac:dyDescent="0.35">
      <c r="A15" s="7"/>
      <c r="F15" s="7"/>
      <c r="G15" s="7"/>
      <c r="I15" s="98" t="s">
        <v>2</v>
      </c>
      <c r="J15" s="99">
        <f>C13</f>
        <v>3399.9999999999995</v>
      </c>
      <c r="L15" s="113">
        <v>11</v>
      </c>
      <c r="M15" s="191" t="s">
        <v>7</v>
      </c>
      <c r="N15" s="192"/>
      <c r="O15" s="190">
        <v>0</v>
      </c>
      <c r="P15" s="200"/>
    </row>
    <row r="16" spans="1:17" ht="15.5" x14ac:dyDescent="0.35">
      <c r="A16" s="7"/>
      <c r="B16" s="7"/>
      <c r="F16" s="7"/>
      <c r="G16" s="7"/>
      <c r="H16" s="23"/>
      <c r="I16" s="100" t="s">
        <v>3</v>
      </c>
      <c r="J16" s="101">
        <f>D13</f>
        <v>20000</v>
      </c>
      <c r="L16" s="113">
        <v>12</v>
      </c>
      <c r="M16" s="191" t="s">
        <v>102</v>
      </c>
      <c r="N16" s="192"/>
      <c r="O16" s="190">
        <v>884</v>
      </c>
      <c r="P16" s="200"/>
    </row>
    <row r="17" spans="1:16" ht="15.5" x14ac:dyDescent="0.35">
      <c r="A17" s="7"/>
      <c r="B17" s="7"/>
      <c r="F17" s="7"/>
      <c r="G17" s="7"/>
      <c r="H17" s="22"/>
      <c r="I17" s="100" t="s">
        <v>19</v>
      </c>
      <c r="J17" s="101">
        <f>E13</f>
        <v>5000</v>
      </c>
      <c r="L17" s="113">
        <v>13</v>
      </c>
      <c r="M17" s="191" t="s">
        <v>34</v>
      </c>
      <c r="N17" s="192"/>
      <c r="O17" s="190">
        <v>0</v>
      </c>
      <c r="P17" s="200"/>
    </row>
    <row r="18" spans="1:16" ht="15.5" x14ac:dyDescent="0.35">
      <c r="A18" s="7"/>
      <c r="F18" s="7"/>
      <c r="G18" s="7"/>
      <c r="I18" s="100" t="s">
        <v>105</v>
      </c>
      <c r="J18" s="102">
        <f>O20</f>
        <v>3453</v>
      </c>
      <c r="L18" s="113">
        <v>10</v>
      </c>
      <c r="M18" s="191" t="s">
        <v>129</v>
      </c>
      <c r="N18" s="192"/>
      <c r="O18" s="190">
        <v>1490</v>
      </c>
      <c r="P18" s="200"/>
    </row>
    <row r="19" spans="1:16" ht="15.5" x14ac:dyDescent="0.35">
      <c r="A19" s="7"/>
      <c r="F19" s="7"/>
      <c r="G19" s="7"/>
      <c r="I19" s="117" t="s">
        <v>157</v>
      </c>
      <c r="J19" s="118">
        <v>1694</v>
      </c>
      <c r="L19" s="212" t="s">
        <v>71</v>
      </c>
      <c r="M19" s="213"/>
      <c r="N19" s="214"/>
      <c r="O19" s="190">
        <f>SUM(O8:P18)</f>
        <v>9243</v>
      </c>
      <c r="P19" s="200"/>
    </row>
    <row r="20" spans="1:16" ht="16" thickBot="1" x14ac:dyDescent="0.4">
      <c r="A20" s="7"/>
      <c r="B20" s="7"/>
      <c r="F20" s="7"/>
      <c r="G20" s="7"/>
      <c r="I20" s="115" t="s">
        <v>74</v>
      </c>
      <c r="J20" s="103">
        <f>SUM(J15:J19)-J13</f>
        <v>0</v>
      </c>
      <c r="L20" s="212" t="s">
        <v>70</v>
      </c>
      <c r="M20" s="213"/>
      <c r="N20" s="214"/>
      <c r="O20" s="190">
        <v>3453</v>
      </c>
      <c r="P20" s="200"/>
    </row>
    <row r="21" spans="1:16" ht="16" thickBot="1" x14ac:dyDescent="0.4">
      <c r="L21" s="215" t="s">
        <v>104</v>
      </c>
      <c r="M21" s="216"/>
      <c r="N21" s="217"/>
      <c r="O21" s="202">
        <f>SUM(O19:P20)</f>
        <v>12696</v>
      </c>
      <c r="P21" s="203"/>
    </row>
  </sheetData>
  <mergeCells count="41">
    <mergeCell ref="G13:G14"/>
    <mergeCell ref="A13:B14"/>
    <mergeCell ref="C13:C14"/>
    <mergeCell ref="D13:D14"/>
    <mergeCell ref="E13:E14"/>
    <mergeCell ref="F13:F14"/>
    <mergeCell ref="L6:L7"/>
    <mergeCell ref="M6:P6"/>
    <mergeCell ref="M7:N7"/>
    <mergeCell ref="O7:P7"/>
    <mergeCell ref="M8:N8"/>
    <mergeCell ref="O8:P8"/>
    <mergeCell ref="M12:N12"/>
    <mergeCell ref="O12:P12"/>
    <mergeCell ref="H13:H14"/>
    <mergeCell ref="I13:I14"/>
    <mergeCell ref="J13:J14"/>
    <mergeCell ref="M13:N13"/>
    <mergeCell ref="O13:P13"/>
    <mergeCell ref="M14:N14"/>
    <mergeCell ref="O14:P14"/>
    <mergeCell ref="O9:P9"/>
    <mergeCell ref="M10:N10"/>
    <mergeCell ref="O10:P10"/>
    <mergeCell ref="M11:N11"/>
    <mergeCell ref="O11:P11"/>
    <mergeCell ref="M9:N9"/>
    <mergeCell ref="M15:N15"/>
    <mergeCell ref="O15:P15"/>
    <mergeCell ref="M16:N16"/>
    <mergeCell ref="O16:P16"/>
    <mergeCell ref="M17:N17"/>
    <mergeCell ref="O17:P17"/>
    <mergeCell ref="L21:N21"/>
    <mergeCell ref="O21:P21"/>
    <mergeCell ref="M18:N18"/>
    <mergeCell ref="O18:P18"/>
    <mergeCell ref="L19:N19"/>
    <mergeCell ref="O19:P19"/>
    <mergeCell ref="L20:N20"/>
    <mergeCell ref="O20:P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C7E7-4B6B-4C63-A24B-E6B82731E462}">
  <dimension ref="A1:Q21"/>
  <sheetViews>
    <sheetView zoomScale="70" zoomScaleNormal="70" workbookViewId="0">
      <selection activeCell="G18" sqref="G18"/>
    </sheetView>
  </sheetViews>
  <sheetFormatPr defaultRowHeight="14.5" x14ac:dyDescent="0.35"/>
  <cols>
    <col min="4" max="4" width="10.7265625" customWidth="1"/>
    <col min="5" max="5" width="11.36328125" customWidth="1"/>
    <col min="6" max="6" width="10.6328125" customWidth="1"/>
    <col min="8" max="8" width="16.7265625" customWidth="1"/>
    <col min="9" max="9" width="13.453125" customWidth="1"/>
    <col min="11" max="11" width="15.1796875" customWidth="1"/>
  </cols>
  <sheetData>
    <row r="1" spans="1:17" ht="29" x14ac:dyDescent="0.35">
      <c r="A1" s="87" t="s">
        <v>0</v>
      </c>
      <c r="B1" s="88" t="s">
        <v>1</v>
      </c>
      <c r="C1" s="88" t="s">
        <v>2</v>
      </c>
      <c r="D1" s="88" t="s">
        <v>3</v>
      </c>
      <c r="E1" s="88" t="s">
        <v>19</v>
      </c>
      <c r="F1" s="89" t="s">
        <v>25</v>
      </c>
      <c r="G1" s="89" t="s">
        <v>156</v>
      </c>
      <c r="H1" s="88" t="s">
        <v>135</v>
      </c>
      <c r="I1" s="89" t="s">
        <v>33</v>
      </c>
      <c r="J1" s="90" t="s">
        <v>24</v>
      </c>
      <c r="K1" s="134" t="s">
        <v>164</v>
      </c>
      <c r="L1" s="104"/>
      <c r="M1" s="105" t="s">
        <v>2</v>
      </c>
      <c r="N1" s="105" t="s">
        <v>3</v>
      </c>
      <c r="O1" s="105" t="s">
        <v>19</v>
      </c>
      <c r="P1" s="106" t="s">
        <v>5</v>
      </c>
      <c r="Q1" s="107" t="s">
        <v>155</v>
      </c>
    </row>
    <row r="2" spans="1:17" ht="18.5" x14ac:dyDescent="0.45">
      <c r="A2" s="29">
        <v>1</v>
      </c>
      <c r="B2" s="2" t="s">
        <v>126</v>
      </c>
      <c r="C2" s="4">
        <f t="shared" ref="C2:C12" si="0">$M$4</f>
        <v>309.09090909090907</v>
      </c>
      <c r="D2" s="4">
        <f>$N$4</f>
        <v>2000</v>
      </c>
      <c r="E2" s="4">
        <f t="shared" ref="E2:E11" si="1">$O$4</f>
        <v>353.33333333333331</v>
      </c>
      <c r="F2" s="9">
        <v>1671</v>
      </c>
      <c r="G2" s="9">
        <f t="shared" ref="G2:G12" si="2">$Q$4</f>
        <v>0</v>
      </c>
      <c r="H2" s="4">
        <f>SUM(C2:G2)</f>
        <v>4333.424242424242</v>
      </c>
      <c r="I2" s="8">
        <v>120</v>
      </c>
      <c r="J2" s="114">
        <f t="shared" ref="J2:J12" si="3">H2-I2</f>
        <v>4213.424242424242</v>
      </c>
      <c r="K2" s="135">
        <v>6500</v>
      </c>
      <c r="L2" s="108" t="s">
        <v>118</v>
      </c>
      <c r="M2" s="68">
        <v>11</v>
      </c>
      <c r="N2" s="68">
        <v>10</v>
      </c>
      <c r="O2" s="68">
        <v>9</v>
      </c>
      <c r="P2" s="68">
        <v>8</v>
      </c>
      <c r="Q2" s="109">
        <v>9</v>
      </c>
    </row>
    <row r="3" spans="1:17" ht="18.5" x14ac:dyDescent="0.45">
      <c r="A3" s="29">
        <v>2</v>
      </c>
      <c r="B3" s="2" t="s">
        <v>11</v>
      </c>
      <c r="C3" s="4">
        <f t="shared" si="0"/>
        <v>309.09090909090907</v>
      </c>
      <c r="D3" s="4">
        <f>$N$4</f>
        <v>2000</v>
      </c>
      <c r="E3" s="4">
        <f t="shared" si="1"/>
        <v>353.33333333333331</v>
      </c>
      <c r="F3" s="9">
        <v>1671</v>
      </c>
      <c r="G3" s="9">
        <f t="shared" si="2"/>
        <v>0</v>
      </c>
      <c r="H3" s="4">
        <f>SUM(C3:G3)</f>
        <v>4333.424242424242</v>
      </c>
      <c r="I3" s="8">
        <f>O9</f>
        <v>120</v>
      </c>
      <c r="J3" s="114">
        <f t="shared" si="3"/>
        <v>4213.424242424242</v>
      </c>
      <c r="K3" s="136">
        <v>6500</v>
      </c>
      <c r="L3" s="108" t="s">
        <v>133</v>
      </c>
      <c r="M3" s="2">
        <v>3400</v>
      </c>
      <c r="N3" s="2">
        <v>20000</v>
      </c>
      <c r="O3" s="2">
        <v>3180</v>
      </c>
      <c r="P3" s="2">
        <f>O21</f>
        <v>13371</v>
      </c>
      <c r="Q3" s="110">
        <v>0</v>
      </c>
    </row>
    <row r="4" spans="1:17" ht="19" thickBot="1" x14ac:dyDescent="0.5">
      <c r="A4" s="29">
        <v>3</v>
      </c>
      <c r="B4" s="2" t="s">
        <v>128</v>
      </c>
      <c r="C4" s="4">
        <f t="shared" si="0"/>
        <v>309.09090909090907</v>
      </c>
      <c r="D4" s="4">
        <f>$N$4</f>
        <v>2000</v>
      </c>
      <c r="E4" s="4">
        <f t="shared" si="1"/>
        <v>353.33333333333331</v>
      </c>
      <c r="F4" s="9">
        <v>1671</v>
      </c>
      <c r="G4" s="9">
        <f t="shared" si="2"/>
        <v>0</v>
      </c>
      <c r="H4" s="4">
        <f>SUM(C4:G4)</f>
        <v>4333.424242424242</v>
      </c>
      <c r="I4" s="8">
        <f>O11</f>
        <v>554</v>
      </c>
      <c r="J4" s="114">
        <f t="shared" si="3"/>
        <v>3779.424242424242</v>
      </c>
      <c r="K4" s="136">
        <v>6500</v>
      </c>
      <c r="L4" s="111" t="s">
        <v>134</v>
      </c>
      <c r="M4" s="112">
        <f>M3/M2</f>
        <v>309.09090909090907</v>
      </c>
      <c r="N4" s="112">
        <f>N3/N2</f>
        <v>2000</v>
      </c>
      <c r="O4" s="112">
        <f>O3/O2</f>
        <v>353.33333333333331</v>
      </c>
      <c r="P4" s="112">
        <f>P3/P2</f>
        <v>1671.375</v>
      </c>
      <c r="Q4" s="116">
        <f>Q3/Q2</f>
        <v>0</v>
      </c>
    </row>
    <row r="5" spans="1:17" ht="19" thickBot="1" x14ac:dyDescent="0.5">
      <c r="A5" s="29">
        <v>4</v>
      </c>
      <c r="B5" s="2" t="s">
        <v>34</v>
      </c>
      <c r="C5" s="4">
        <f t="shared" si="0"/>
        <v>309.09090909090907</v>
      </c>
      <c r="D5" s="4">
        <f>$N$4</f>
        <v>2000</v>
      </c>
      <c r="E5" s="4">
        <v>0</v>
      </c>
      <c r="F5" s="9">
        <v>0</v>
      </c>
      <c r="G5" s="9">
        <v>0</v>
      </c>
      <c r="H5" s="4">
        <f t="shared" ref="H5:H12" si="4">SUM(C5:G5)</f>
        <v>2309.090909090909</v>
      </c>
      <c r="I5" s="8">
        <f>O17</f>
        <v>0</v>
      </c>
      <c r="J5" s="114">
        <f t="shared" si="3"/>
        <v>2309.090909090909</v>
      </c>
    </row>
    <row r="6" spans="1:17" ht="18.5" x14ac:dyDescent="0.45">
      <c r="A6" s="92">
        <v>5</v>
      </c>
      <c r="B6" s="93" t="s">
        <v>8</v>
      </c>
      <c r="C6" s="94">
        <f t="shared" si="0"/>
        <v>309.09090909090907</v>
      </c>
      <c r="D6" s="94">
        <v>0</v>
      </c>
      <c r="E6" s="94">
        <f t="shared" si="1"/>
        <v>353.33333333333331</v>
      </c>
      <c r="F6" s="95">
        <v>1671</v>
      </c>
      <c r="G6" s="95">
        <f t="shared" si="2"/>
        <v>0</v>
      </c>
      <c r="H6" s="94">
        <f t="shared" si="4"/>
        <v>2333.4242424242425</v>
      </c>
      <c r="I6" s="96">
        <f>O13</f>
        <v>35</v>
      </c>
      <c r="J6" s="97">
        <f t="shared" si="3"/>
        <v>2298.4242424242425</v>
      </c>
      <c r="L6" s="204" t="s">
        <v>0</v>
      </c>
      <c r="M6" s="206" t="s">
        <v>69</v>
      </c>
      <c r="N6" s="207"/>
      <c r="O6" s="207"/>
      <c r="P6" s="208"/>
    </row>
    <row r="7" spans="1:17" ht="18.5" x14ac:dyDescent="0.45">
      <c r="A7" s="29">
        <v>6</v>
      </c>
      <c r="B7" s="2" t="s">
        <v>131</v>
      </c>
      <c r="C7" s="4">
        <f t="shared" si="0"/>
        <v>309.09090909090907</v>
      </c>
      <c r="D7" s="4">
        <f t="shared" ref="D7:D12" si="5">$N$4</f>
        <v>2000</v>
      </c>
      <c r="E7" s="4">
        <f t="shared" si="1"/>
        <v>353.33333333333331</v>
      </c>
      <c r="F7" s="95">
        <v>1671</v>
      </c>
      <c r="G7" s="9">
        <f t="shared" si="2"/>
        <v>0</v>
      </c>
      <c r="H7" s="4">
        <f t="shared" si="4"/>
        <v>4333.424242424242</v>
      </c>
      <c r="I7" s="8">
        <f>O8</f>
        <v>373</v>
      </c>
      <c r="J7" s="114">
        <f t="shared" si="3"/>
        <v>3960.424242424242</v>
      </c>
      <c r="K7" s="136">
        <v>6500</v>
      </c>
      <c r="L7" s="205"/>
      <c r="M7" s="209" t="s">
        <v>1</v>
      </c>
      <c r="N7" s="210"/>
      <c r="O7" s="209" t="s">
        <v>103</v>
      </c>
      <c r="P7" s="211"/>
    </row>
    <row r="8" spans="1:17" ht="18.5" x14ac:dyDescent="0.45">
      <c r="A8" s="29">
        <v>7</v>
      </c>
      <c r="B8" s="2" t="s">
        <v>125</v>
      </c>
      <c r="C8" s="4">
        <f t="shared" si="0"/>
        <v>309.09090909090907</v>
      </c>
      <c r="D8" s="4">
        <f t="shared" si="5"/>
        <v>2000</v>
      </c>
      <c r="E8" s="4">
        <v>353</v>
      </c>
      <c r="F8" s="123">
        <v>1671</v>
      </c>
      <c r="G8" s="9">
        <f t="shared" si="2"/>
        <v>0</v>
      </c>
      <c r="H8" s="4">
        <f t="shared" si="4"/>
        <v>4333.090909090909</v>
      </c>
      <c r="I8" s="8">
        <f>O14</f>
        <v>184</v>
      </c>
      <c r="J8" s="114">
        <f t="shared" si="3"/>
        <v>4149.090909090909</v>
      </c>
      <c r="L8" s="113">
        <v>1</v>
      </c>
      <c r="M8" s="191" t="s">
        <v>130</v>
      </c>
      <c r="N8" s="192"/>
      <c r="O8" s="194">
        <v>373</v>
      </c>
      <c r="P8" s="201"/>
    </row>
    <row r="9" spans="1:17" ht="18.5" x14ac:dyDescent="0.45">
      <c r="A9" s="80">
        <v>8</v>
      </c>
      <c r="B9" s="3" t="s">
        <v>102</v>
      </c>
      <c r="C9" s="4">
        <f t="shared" si="0"/>
        <v>309.09090909090907</v>
      </c>
      <c r="D9" s="4">
        <f t="shared" si="5"/>
        <v>2000</v>
      </c>
      <c r="E9" s="4">
        <v>353</v>
      </c>
      <c r="F9" s="9">
        <v>1671</v>
      </c>
      <c r="G9" s="9">
        <v>0</v>
      </c>
      <c r="H9" s="4">
        <f t="shared" si="4"/>
        <v>4333.090909090909</v>
      </c>
      <c r="I9" s="8">
        <f>O16</f>
        <v>399</v>
      </c>
      <c r="J9" s="114">
        <f>H9-I9</f>
        <v>3934.090909090909</v>
      </c>
      <c r="L9" s="113">
        <v>2</v>
      </c>
      <c r="M9" s="191" t="s">
        <v>11</v>
      </c>
      <c r="N9" s="192"/>
      <c r="O9" s="194">
        <v>120</v>
      </c>
      <c r="P9" s="201"/>
    </row>
    <row r="10" spans="1:17" ht="18.5" x14ac:dyDescent="0.45">
      <c r="A10" s="29">
        <v>9</v>
      </c>
      <c r="B10" s="3" t="s">
        <v>132</v>
      </c>
      <c r="C10" s="4">
        <f t="shared" si="0"/>
        <v>309.09090909090907</v>
      </c>
      <c r="D10" s="4">
        <f t="shared" si="5"/>
        <v>2000</v>
      </c>
      <c r="E10" s="4">
        <f t="shared" si="1"/>
        <v>353.33333333333331</v>
      </c>
      <c r="F10" s="9">
        <v>0</v>
      </c>
      <c r="G10" s="9">
        <f t="shared" si="2"/>
        <v>0</v>
      </c>
      <c r="H10" s="4">
        <f t="shared" si="4"/>
        <v>2662.4242424242425</v>
      </c>
      <c r="I10" s="8">
        <f>O15</f>
        <v>0</v>
      </c>
      <c r="J10" s="114">
        <f t="shared" si="3"/>
        <v>2662.4242424242425</v>
      </c>
      <c r="L10" s="113">
        <v>3</v>
      </c>
      <c r="M10" s="191" t="s">
        <v>126</v>
      </c>
      <c r="N10" s="192"/>
      <c r="O10" s="194">
        <v>120</v>
      </c>
      <c r="P10" s="201"/>
    </row>
    <row r="11" spans="1:17" ht="18.5" x14ac:dyDescent="0.45">
      <c r="A11" s="29">
        <v>10</v>
      </c>
      <c r="B11" s="3" t="s">
        <v>129</v>
      </c>
      <c r="C11" s="4">
        <f t="shared" si="0"/>
        <v>309.09090909090907</v>
      </c>
      <c r="D11" s="4">
        <f t="shared" si="5"/>
        <v>2000</v>
      </c>
      <c r="E11" s="4">
        <f t="shared" si="1"/>
        <v>353.33333333333331</v>
      </c>
      <c r="F11" s="9">
        <v>1671</v>
      </c>
      <c r="G11" s="9">
        <f t="shared" si="2"/>
        <v>0</v>
      </c>
      <c r="H11" s="4">
        <f t="shared" si="4"/>
        <v>4333.424242424242</v>
      </c>
      <c r="I11" s="8">
        <f>O18</f>
        <v>8605</v>
      </c>
      <c r="J11" s="114">
        <f t="shared" si="3"/>
        <v>-4271.575757575758</v>
      </c>
      <c r="K11" s="136">
        <v>6500</v>
      </c>
      <c r="L11" s="113">
        <v>4</v>
      </c>
      <c r="M11" s="191" t="s">
        <v>128</v>
      </c>
      <c r="N11" s="192"/>
      <c r="O11" s="194">
        <v>554</v>
      </c>
      <c r="P11" s="201"/>
    </row>
    <row r="12" spans="1:17" ht="18.5" x14ac:dyDescent="0.45">
      <c r="A12" s="121">
        <v>11</v>
      </c>
      <c r="B12" s="122" t="s">
        <v>145</v>
      </c>
      <c r="C12" s="4">
        <f t="shared" si="0"/>
        <v>309.09090909090907</v>
      </c>
      <c r="D12" s="4">
        <f t="shared" si="5"/>
        <v>2000</v>
      </c>
      <c r="E12" s="4">
        <v>0</v>
      </c>
      <c r="F12" s="9">
        <v>0</v>
      </c>
      <c r="G12" s="9">
        <f t="shared" si="2"/>
        <v>0</v>
      </c>
      <c r="H12" s="4">
        <f t="shared" si="4"/>
        <v>2309.090909090909</v>
      </c>
      <c r="I12" s="8">
        <f>O12</f>
        <v>0</v>
      </c>
      <c r="J12" s="114">
        <f t="shared" si="3"/>
        <v>2309.090909090909</v>
      </c>
      <c r="L12" s="113">
        <v>5</v>
      </c>
      <c r="M12" s="191" t="str">
        <f>B12</f>
        <v>Ruban</v>
      </c>
      <c r="N12" s="192"/>
      <c r="O12" s="194">
        <v>0</v>
      </c>
      <c r="P12" s="201"/>
    </row>
    <row r="13" spans="1:17" x14ac:dyDescent="0.35">
      <c r="A13" s="218" t="s">
        <v>12</v>
      </c>
      <c r="B13" s="219"/>
      <c r="C13" s="222">
        <f t="shared" ref="C13:J13" si="6">SUM(C2:C12)</f>
        <v>3399.9999999999995</v>
      </c>
      <c r="D13" s="222">
        <f t="shared" si="6"/>
        <v>20000</v>
      </c>
      <c r="E13" s="222">
        <f t="shared" si="6"/>
        <v>3179.3333333333335</v>
      </c>
      <c r="F13" s="222">
        <f t="shared" si="6"/>
        <v>13368</v>
      </c>
      <c r="G13" s="222">
        <f t="shared" si="6"/>
        <v>0</v>
      </c>
      <c r="H13" s="222">
        <f t="shared" si="6"/>
        <v>39947.333333333328</v>
      </c>
      <c r="I13" s="222">
        <f t="shared" si="6"/>
        <v>10390</v>
      </c>
      <c r="J13" s="224">
        <f t="shared" si="6"/>
        <v>29557.333333333332</v>
      </c>
      <c r="K13" s="133">
        <v>32500</v>
      </c>
      <c r="L13" s="113">
        <v>6</v>
      </c>
      <c r="M13" s="191" t="s">
        <v>8</v>
      </c>
      <c r="N13" s="192"/>
      <c r="O13" s="194">
        <v>35</v>
      </c>
      <c r="P13" s="201"/>
    </row>
    <row r="14" spans="1:17" ht="15" thickBot="1" x14ac:dyDescent="0.4">
      <c r="A14" s="220"/>
      <c r="B14" s="221"/>
      <c r="C14" s="223"/>
      <c r="D14" s="223"/>
      <c r="E14" s="223"/>
      <c r="F14" s="223"/>
      <c r="G14" s="223"/>
      <c r="H14" s="223"/>
      <c r="I14" s="223"/>
      <c r="J14" s="225"/>
      <c r="L14" s="113">
        <v>7</v>
      </c>
      <c r="M14" s="191" t="s">
        <v>125</v>
      </c>
      <c r="N14" s="192"/>
      <c r="O14" s="194">
        <v>184</v>
      </c>
      <c r="P14" s="201"/>
    </row>
    <row r="15" spans="1:17" ht="15.5" x14ac:dyDescent="0.35">
      <c r="A15" s="7"/>
      <c r="F15" s="7"/>
      <c r="G15" s="7"/>
      <c r="I15" s="98" t="s">
        <v>2</v>
      </c>
      <c r="J15" s="99">
        <f>C13</f>
        <v>3399.9999999999995</v>
      </c>
      <c r="L15" s="113">
        <v>8</v>
      </c>
      <c r="M15" s="191" t="s">
        <v>7</v>
      </c>
      <c r="N15" s="192"/>
      <c r="O15" s="190">
        <v>0</v>
      </c>
      <c r="P15" s="200"/>
    </row>
    <row r="16" spans="1:17" ht="15.5" x14ac:dyDescent="0.35">
      <c r="A16" s="7"/>
      <c r="B16" s="7"/>
      <c r="F16" s="7"/>
      <c r="G16" s="7"/>
      <c r="H16" s="23"/>
      <c r="I16" s="100" t="s">
        <v>3</v>
      </c>
      <c r="J16" s="101">
        <f>D13</f>
        <v>20000</v>
      </c>
      <c r="L16" s="113">
        <v>9</v>
      </c>
      <c r="M16" s="191" t="s">
        <v>102</v>
      </c>
      <c r="N16" s="192"/>
      <c r="O16" s="190">
        <v>399</v>
      </c>
      <c r="P16" s="200"/>
    </row>
    <row r="17" spans="1:16" ht="15.5" x14ac:dyDescent="0.35">
      <c r="A17" s="7"/>
      <c r="B17" s="7"/>
      <c r="F17" s="7"/>
      <c r="G17" s="7"/>
      <c r="H17" s="22"/>
      <c r="I17" s="100" t="s">
        <v>19</v>
      </c>
      <c r="J17" s="101">
        <v>3180</v>
      </c>
      <c r="L17" s="113">
        <v>10</v>
      </c>
      <c r="M17" s="191" t="s">
        <v>34</v>
      </c>
      <c r="N17" s="192"/>
      <c r="O17" s="190">
        <v>0</v>
      </c>
      <c r="P17" s="200"/>
    </row>
    <row r="18" spans="1:16" ht="15.5" x14ac:dyDescent="0.35">
      <c r="A18" s="7"/>
      <c r="F18" s="7"/>
      <c r="G18" s="7"/>
      <c r="I18" s="100" t="s">
        <v>105</v>
      </c>
      <c r="J18" s="102">
        <f>O20</f>
        <v>2981</v>
      </c>
      <c r="L18" s="113">
        <v>11</v>
      </c>
      <c r="M18" s="191" t="s">
        <v>129</v>
      </c>
      <c r="N18" s="192"/>
      <c r="O18" s="190">
        <v>8605</v>
      </c>
      <c r="P18" s="200"/>
    </row>
    <row r="19" spans="1:16" ht="15.5" x14ac:dyDescent="0.35">
      <c r="A19" s="7"/>
      <c r="F19" s="7"/>
      <c r="G19" s="7"/>
      <c r="I19" s="117" t="s">
        <v>157</v>
      </c>
      <c r="J19" s="118">
        <v>0</v>
      </c>
      <c r="L19" s="212" t="s">
        <v>71</v>
      </c>
      <c r="M19" s="213"/>
      <c r="N19" s="214"/>
      <c r="O19" s="190">
        <f>SUM(O8:P18)</f>
        <v>10390</v>
      </c>
      <c r="P19" s="200"/>
    </row>
    <row r="20" spans="1:16" ht="16" thickBot="1" x14ac:dyDescent="0.4">
      <c r="A20" s="7"/>
      <c r="B20" s="7"/>
      <c r="F20" s="7"/>
      <c r="G20" s="7"/>
      <c r="I20" s="115" t="s">
        <v>74</v>
      </c>
      <c r="J20" s="103">
        <f>SUM(J15:J19)-J13</f>
        <v>3.6666666666678793</v>
      </c>
      <c r="L20" s="212" t="s">
        <v>70</v>
      </c>
      <c r="M20" s="213"/>
      <c r="N20" s="214"/>
      <c r="O20" s="190">
        <v>2981</v>
      </c>
      <c r="P20" s="200"/>
    </row>
    <row r="21" spans="1:16" ht="16" thickBot="1" x14ac:dyDescent="0.4">
      <c r="L21" s="215" t="s">
        <v>104</v>
      </c>
      <c r="M21" s="216"/>
      <c r="N21" s="217"/>
      <c r="O21" s="202">
        <f>SUM(O19:P20)</f>
        <v>13371</v>
      </c>
      <c r="P21" s="203"/>
    </row>
  </sheetData>
  <mergeCells count="41">
    <mergeCell ref="L6:L7"/>
    <mergeCell ref="M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M13:N13"/>
    <mergeCell ref="O13:P13"/>
    <mergeCell ref="M14:N14"/>
    <mergeCell ref="O14:P14"/>
    <mergeCell ref="M16:N16"/>
    <mergeCell ref="O16:P16"/>
    <mergeCell ref="M17:N17"/>
    <mergeCell ref="O17:P17"/>
    <mergeCell ref="M15:N15"/>
    <mergeCell ref="O15:P15"/>
    <mergeCell ref="L21:N21"/>
    <mergeCell ref="O21:P21"/>
    <mergeCell ref="M18:N18"/>
    <mergeCell ref="O18:P18"/>
    <mergeCell ref="L19:N19"/>
    <mergeCell ref="O19:P19"/>
    <mergeCell ref="L20:N20"/>
    <mergeCell ref="O20:P20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CD79-1520-4013-9F31-75068951F07A}">
  <dimension ref="A1:S20"/>
  <sheetViews>
    <sheetView zoomScale="85" zoomScaleNormal="85" workbookViewId="0">
      <selection activeCell="G8" sqref="G8:H8"/>
    </sheetView>
  </sheetViews>
  <sheetFormatPr defaultRowHeight="14.5" x14ac:dyDescent="0.35"/>
  <cols>
    <col min="1" max="1" width="4.90625" bestFit="1" customWidth="1"/>
    <col min="2" max="2" width="11.08984375" bestFit="1" customWidth="1"/>
    <col min="5" max="5" width="10.7265625" customWidth="1"/>
    <col min="6" max="6" width="7.90625" customWidth="1"/>
    <col min="7" max="8" width="10.6328125" customWidth="1"/>
    <col min="10" max="10" width="10.36328125" bestFit="1" customWidth="1"/>
    <col min="11" max="11" width="13.453125" customWidth="1"/>
    <col min="13" max="13" width="3.6328125" customWidth="1"/>
    <col min="14" max="14" width="10.6328125" customWidth="1"/>
    <col min="15" max="15" width="15.36328125" customWidth="1"/>
    <col min="16" max="16" width="6.26953125" bestFit="1" customWidth="1"/>
    <col min="18" max="18" width="8.26953125" customWidth="1"/>
  </cols>
  <sheetData>
    <row r="1" spans="1:19" ht="29" x14ac:dyDescent="0.35">
      <c r="A1" s="87" t="s">
        <v>0</v>
      </c>
      <c r="B1" s="88" t="s">
        <v>1</v>
      </c>
      <c r="C1" s="88" t="s">
        <v>167</v>
      </c>
      <c r="D1" s="88" t="s">
        <v>2</v>
      </c>
      <c r="E1" s="88" t="s">
        <v>3</v>
      </c>
      <c r="F1" s="88" t="s">
        <v>19</v>
      </c>
      <c r="G1" s="89" t="s">
        <v>25</v>
      </c>
      <c r="H1" s="89" t="s">
        <v>168</v>
      </c>
      <c r="I1" s="89" t="s">
        <v>156</v>
      </c>
      <c r="J1" s="88" t="s">
        <v>135</v>
      </c>
      <c r="K1" s="89" t="s">
        <v>33</v>
      </c>
      <c r="L1" s="90" t="s">
        <v>24</v>
      </c>
      <c r="N1" s="104"/>
      <c r="O1" s="105" t="s">
        <v>2</v>
      </c>
      <c r="P1" s="105" t="s">
        <v>3</v>
      </c>
      <c r="Q1" s="105" t="s">
        <v>19</v>
      </c>
      <c r="R1" s="152" t="s">
        <v>25</v>
      </c>
      <c r="S1" s="107" t="s">
        <v>155</v>
      </c>
    </row>
    <row r="2" spans="1:19" ht="18.5" x14ac:dyDescent="0.45">
      <c r="A2" s="29">
        <v>1</v>
      </c>
      <c r="B2" s="2" t="s">
        <v>126</v>
      </c>
      <c r="C2" s="2"/>
      <c r="D2" s="4">
        <f t="shared" ref="D2:D11" si="0">$O$4</f>
        <v>340</v>
      </c>
      <c r="E2" s="4">
        <f>$P$4</f>
        <v>2222.2222222222222</v>
      </c>
      <c r="F2" s="4">
        <f>$Q$4</f>
        <v>333.33333333333331</v>
      </c>
      <c r="G2" s="4">
        <f t="shared" ref="G2:G7" si="1">$R$4</f>
        <v>1668.8571428571429</v>
      </c>
      <c r="H2" s="4">
        <v>190</v>
      </c>
      <c r="I2" s="9">
        <f t="shared" ref="I2:I7" si="2">$S$4</f>
        <v>244.66666666666666</v>
      </c>
      <c r="J2" s="4">
        <f t="shared" ref="J2:J11" si="3">SUM(D2:I2)</f>
        <v>4999.0793650793657</v>
      </c>
      <c r="K2" s="8">
        <f>Q9</f>
        <v>907</v>
      </c>
      <c r="L2" s="114">
        <f t="shared" ref="L2:L11" si="4">J2-K2</f>
        <v>4092.0793650793657</v>
      </c>
      <c r="N2" s="108" t="s">
        <v>118</v>
      </c>
      <c r="O2" s="68">
        <v>10</v>
      </c>
      <c r="P2" s="68">
        <v>9</v>
      </c>
      <c r="Q2" s="68">
        <v>9</v>
      </c>
      <c r="R2" s="68">
        <v>7</v>
      </c>
      <c r="S2" s="109">
        <v>9</v>
      </c>
    </row>
    <row r="3" spans="1:19" ht="18.5" x14ac:dyDescent="0.45">
      <c r="A3" s="29">
        <v>2</v>
      </c>
      <c r="B3" s="2" t="s">
        <v>11</v>
      </c>
      <c r="C3" s="2"/>
      <c r="D3" s="4">
        <f t="shared" si="0"/>
        <v>340</v>
      </c>
      <c r="E3" s="4">
        <f>$P$4</f>
        <v>2222.2222222222222</v>
      </c>
      <c r="F3" s="4">
        <f>$Q$4</f>
        <v>333.33333333333331</v>
      </c>
      <c r="G3" s="4">
        <f t="shared" si="1"/>
        <v>1668.8571428571429</v>
      </c>
      <c r="H3" s="4">
        <v>190</v>
      </c>
      <c r="I3" s="9">
        <f t="shared" si="2"/>
        <v>244.66666666666666</v>
      </c>
      <c r="J3" s="4">
        <f t="shared" si="3"/>
        <v>4999.0793650793657</v>
      </c>
      <c r="K3" s="8">
        <f>Q8</f>
        <v>540</v>
      </c>
      <c r="L3" s="114">
        <f t="shared" si="4"/>
        <v>4459.0793650793657</v>
      </c>
      <c r="N3" s="108" t="s">
        <v>133</v>
      </c>
      <c r="O3" s="2">
        <v>3400</v>
      </c>
      <c r="P3" s="2">
        <v>20000</v>
      </c>
      <c r="Q3" s="2">
        <v>3000</v>
      </c>
      <c r="R3" s="2">
        <f>Q19</f>
        <v>11682</v>
      </c>
      <c r="S3" s="110">
        <v>2202</v>
      </c>
    </row>
    <row r="4" spans="1:19" ht="19" thickBot="1" x14ac:dyDescent="0.5">
      <c r="A4" s="29">
        <v>3</v>
      </c>
      <c r="B4" s="2" t="s">
        <v>128</v>
      </c>
      <c r="C4" s="151">
        <v>2500</v>
      </c>
      <c r="D4" s="4">
        <f t="shared" si="0"/>
        <v>340</v>
      </c>
      <c r="E4" s="4">
        <f>$P$4</f>
        <v>2222.2222222222222</v>
      </c>
      <c r="F4" s="4">
        <f>$Q$4</f>
        <v>333.33333333333331</v>
      </c>
      <c r="G4" s="4">
        <f t="shared" si="1"/>
        <v>1668.8571428571429</v>
      </c>
      <c r="H4" s="4">
        <v>190</v>
      </c>
      <c r="I4" s="9">
        <f t="shared" si="2"/>
        <v>244.66666666666666</v>
      </c>
      <c r="J4" s="4">
        <f t="shared" si="3"/>
        <v>4999.0793650793657</v>
      </c>
      <c r="K4" s="8">
        <f>Q10</f>
        <v>680</v>
      </c>
      <c r="L4" s="114">
        <f t="shared" si="4"/>
        <v>4319.0793650793657</v>
      </c>
      <c r="N4" s="111" t="s">
        <v>134</v>
      </c>
      <c r="O4" s="112">
        <f>O3/O2</f>
        <v>340</v>
      </c>
      <c r="P4" s="112">
        <f>P3/P2</f>
        <v>2222.2222222222222</v>
      </c>
      <c r="Q4" s="112">
        <f>Q3/Q2</f>
        <v>333.33333333333331</v>
      </c>
      <c r="R4" s="112">
        <f>R3/R2</f>
        <v>1668.8571428571429</v>
      </c>
      <c r="S4" s="116">
        <f>S3/S2</f>
        <v>244.66666666666666</v>
      </c>
    </row>
    <row r="5" spans="1:19" ht="18.5" x14ac:dyDescent="0.45">
      <c r="A5" s="92">
        <v>4</v>
      </c>
      <c r="B5" s="93" t="s">
        <v>8</v>
      </c>
      <c r="C5" s="93"/>
      <c r="D5" s="94">
        <f t="shared" si="0"/>
        <v>340</v>
      </c>
      <c r="E5" s="94">
        <v>0</v>
      </c>
      <c r="F5" s="94">
        <f>$Q$4</f>
        <v>333.33333333333331</v>
      </c>
      <c r="G5" s="94">
        <f t="shared" si="1"/>
        <v>1668.8571428571429</v>
      </c>
      <c r="H5" s="94">
        <v>190</v>
      </c>
      <c r="I5" s="95">
        <f t="shared" si="2"/>
        <v>244.66666666666666</v>
      </c>
      <c r="J5" s="94">
        <f t="shared" si="3"/>
        <v>2776.8571428571427</v>
      </c>
      <c r="K5" s="96">
        <f>Q12</f>
        <v>30</v>
      </c>
      <c r="L5" s="97">
        <f t="shared" si="4"/>
        <v>2746.8571428571427</v>
      </c>
      <c r="N5" s="204" t="s">
        <v>0</v>
      </c>
      <c r="O5" s="206" t="s">
        <v>69</v>
      </c>
      <c r="P5" s="207"/>
      <c r="Q5" s="207"/>
      <c r="R5" s="208"/>
    </row>
    <row r="6" spans="1:19" ht="18.5" x14ac:dyDescent="0.45">
      <c r="A6" s="29">
        <v>5</v>
      </c>
      <c r="B6" s="2" t="s">
        <v>131</v>
      </c>
      <c r="C6" s="151">
        <v>1500</v>
      </c>
      <c r="D6" s="4">
        <f t="shared" si="0"/>
        <v>340</v>
      </c>
      <c r="E6" s="4">
        <f t="shared" ref="E6:E11" si="5">$P$4</f>
        <v>2222.2222222222222</v>
      </c>
      <c r="F6" s="4">
        <f>$Q$4</f>
        <v>333.33333333333331</v>
      </c>
      <c r="G6" s="4">
        <f t="shared" si="1"/>
        <v>1668.8571428571429</v>
      </c>
      <c r="H6" s="4">
        <v>190</v>
      </c>
      <c r="I6" s="9">
        <f t="shared" si="2"/>
        <v>244.66666666666666</v>
      </c>
      <c r="J6" s="4">
        <f t="shared" si="3"/>
        <v>4999.0793650793657</v>
      </c>
      <c r="K6" s="8">
        <f>Q7</f>
        <v>2615</v>
      </c>
      <c r="L6" s="114">
        <f t="shared" si="4"/>
        <v>2384.0793650793657</v>
      </c>
      <c r="N6" s="205"/>
      <c r="O6" s="209" t="s">
        <v>1</v>
      </c>
      <c r="P6" s="210"/>
      <c r="Q6" s="209" t="s">
        <v>103</v>
      </c>
      <c r="R6" s="211"/>
    </row>
    <row r="7" spans="1:19" ht="18.5" x14ac:dyDescent="0.45">
      <c r="A7" s="29">
        <v>6</v>
      </c>
      <c r="B7" s="2" t="s">
        <v>125</v>
      </c>
      <c r="C7" s="2"/>
      <c r="D7" s="4">
        <f t="shared" si="0"/>
        <v>340</v>
      </c>
      <c r="E7" s="4">
        <f t="shared" si="5"/>
        <v>2222.2222222222222</v>
      </c>
      <c r="F7" s="4">
        <f t="shared" ref="F7:F10" si="6">$Q$4</f>
        <v>333.33333333333331</v>
      </c>
      <c r="G7" s="4">
        <f t="shared" si="1"/>
        <v>1668.8571428571429</v>
      </c>
      <c r="H7" s="4">
        <v>190</v>
      </c>
      <c r="I7" s="9">
        <f t="shared" si="2"/>
        <v>244.66666666666666</v>
      </c>
      <c r="J7" s="4">
        <f t="shared" si="3"/>
        <v>4999.0793650793657</v>
      </c>
      <c r="K7" s="8">
        <f>Q13</f>
        <v>0</v>
      </c>
      <c r="L7" s="114">
        <f t="shared" si="4"/>
        <v>4999.0793650793657</v>
      </c>
      <c r="N7" s="113">
        <v>1</v>
      </c>
      <c r="O7" s="191" t="s">
        <v>130</v>
      </c>
      <c r="P7" s="192"/>
      <c r="Q7" s="194">
        <v>2615</v>
      </c>
      <c r="R7" s="201"/>
    </row>
    <row r="8" spans="1:19" ht="18.5" x14ac:dyDescent="0.45">
      <c r="A8" s="29">
        <v>7</v>
      </c>
      <c r="B8" s="2" t="s">
        <v>102</v>
      </c>
      <c r="C8" s="2"/>
      <c r="D8" s="4">
        <f t="shared" si="0"/>
        <v>340</v>
      </c>
      <c r="E8" s="4">
        <f t="shared" si="5"/>
        <v>2222.2222222222222</v>
      </c>
      <c r="F8" s="4">
        <f t="shared" si="6"/>
        <v>333.33333333333331</v>
      </c>
      <c r="G8" s="4">
        <v>0</v>
      </c>
      <c r="H8" s="4">
        <v>190</v>
      </c>
      <c r="I8" s="9">
        <v>245</v>
      </c>
      <c r="J8" s="4">
        <f t="shared" si="3"/>
        <v>3330.5555555555557</v>
      </c>
      <c r="K8" s="8">
        <f>Q15</f>
        <v>55</v>
      </c>
      <c r="L8" s="114">
        <f t="shared" si="4"/>
        <v>3275.5555555555557</v>
      </c>
      <c r="N8" s="113">
        <v>2</v>
      </c>
      <c r="O8" s="191" t="s">
        <v>11</v>
      </c>
      <c r="P8" s="192"/>
      <c r="Q8" s="194">
        <v>540</v>
      </c>
      <c r="R8" s="201"/>
    </row>
    <row r="9" spans="1:19" ht="18.5" x14ac:dyDescent="0.45">
      <c r="A9" s="29">
        <v>8</v>
      </c>
      <c r="B9" s="2" t="s">
        <v>132</v>
      </c>
      <c r="C9" s="2"/>
      <c r="D9" s="4">
        <f t="shared" si="0"/>
        <v>340</v>
      </c>
      <c r="E9" s="4">
        <f t="shared" si="5"/>
        <v>2222.2222222222222</v>
      </c>
      <c r="F9" s="4">
        <f t="shared" si="6"/>
        <v>333.33333333333331</v>
      </c>
      <c r="G9" s="4">
        <v>0</v>
      </c>
      <c r="H9" s="4">
        <v>190</v>
      </c>
      <c r="I9" s="9">
        <f>$S$4</f>
        <v>244.66666666666666</v>
      </c>
      <c r="J9" s="4">
        <f t="shared" si="3"/>
        <v>3330.2222222222222</v>
      </c>
      <c r="K9" s="8">
        <f>Q14</f>
        <v>0</v>
      </c>
      <c r="L9" s="114">
        <f t="shared" si="4"/>
        <v>3330.2222222222222</v>
      </c>
      <c r="N9" s="113">
        <v>3</v>
      </c>
      <c r="O9" s="191" t="s">
        <v>126</v>
      </c>
      <c r="P9" s="192"/>
      <c r="Q9" s="194">
        <v>907</v>
      </c>
      <c r="R9" s="201"/>
    </row>
    <row r="10" spans="1:19" ht="18.5" x14ac:dyDescent="0.45">
      <c r="A10" s="29">
        <v>9</v>
      </c>
      <c r="B10" s="2" t="s">
        <v>129</v>
      </c>
      <c r="C10" s="2"/>
      <c r="D10" s="4">
        <f t="shared" si="0"/>
        <v>340</v>
      </c>
      <c r="E10" s="4">
        <f t="shared" si="5"/>
        <v>2222.2222222222222</v>
      </c>
      <c r="F10" s="4">
        <f t="shared" si="6"/>
        <v>333.33333333333331</v>
      </c>
      <c r="G10" s="4">
        <f>$R$4</f>
        <v>1668.8571428571429</v>
      </c>
      <c r="H10" s="4">
        <v>190</v>
      </c>
      <c r="I10" s="9">
        <f>$S$4</f>
        <v>244.66666666666666</v>
      </c>
      <c r="J10" s="4">
        <f t="shared" si="3"/>
        <v>4999.0793650793657</v>
      </c>
      <c r="K10" s="8">
        <f>Q16</f>
        <v>3495</v>
      </c>
      <c r="L10" s="114">
        <f t="shared" si="4"/>
        <v>1504.0793650793657</v>
      </c>
      <c r="N10" s="113">
        <v>4</v>
      </c>
      <c r="O10" s="191" t="s">
        <v>128</v>
      </c>
      <c r="P10" s="192"/>
      <c r="Q10" s="194">
        <v>680</v>
      </c>
      <c r="R10" s="201"/>
    </row>
    <row r="11" spans="1:19" ht="18.5" x14ac:dyDescent="0.45">
      <c r="A11" s="121">
        <v>10</v>
      </c>
      <c r="B11" s="150" t="s">
        <v>145</v>
      </c>
      <c r="C11" s="150"/>
      <c r="D11" s="4">
        <f t="shared" si="0"/>
        <v>340</v>
      </c>
      <c r="E11" s="4">
        <f t="shared" si="5"/>
        <v>2222.2222222222222</v>
      </c>
      <c r="F11" s="4">
        <v>0</v>
      </c>
      <c r="G11" s="4">
        <v>0</v>
      </c>
      <c r="H11" s="4">
        <v>190</v>
      </c>
      <c r="I11" s="9">
        <v>0</v>
      </c>
      <c r="J11" s="4">
        <f t="shared" si="3"/>
        <v>2752.2222222222222</v>
      </c>
      <c r="K11" s="8">
        <f>Q11</f>
        <v>0</v>
      </c>
      <c r="L11" s="114">
        <f t="shared" si="4"/>
        <v>2752.2222222222222</v>
      </c>
      <c r="N11" s="113">
        <v>5</v>
      </c>
      <c r="O11" s="191" t="str">
        <f>B11</f>
        <v>Ruban</v>
      </c>
      <c r="P11" s="192"/>
      <c r="Q11" s="194">
        <v>0</v>
      </c>
      <c r="R11" s="201"/>
    </row>
    <row r="12" spans="1:19" ht="18.5" x14ac:dyDescent="0.35">
      <c r="A12" s="218" t="s">
        <v>12</v>
      </c>
      <c r="B12" s="219"/>
      <c r="C12" s="137"/>
      <c r="D12" s="222">
        <f t="shared" ref="D12:L12" si="7">SUM(D2:D11)</f>
        <v>3400</v>
      </c>
      <c r="E12" s="222">
        <f t="shared" si="7"/>
        <v>20000</v>
      </c>
      <c r="F12" s="222">
        <f t="shared" si="7"/>
        <v>3000</v>
      </c>
      <c r="G12" s="222">
        <f t="shared" si="7"/>
        <v>11682</v>
      </c>
      <c r="H12" s="222">
        <f t="shared" si="7"/>
        <v>1900</v>
      </c>
      <c r="I12" s="222">
        <f t="shared" si="7"/>
        <v>2202.3333333333335</v>
      </c>
      <c r="J12" s="222">
        <f t="shared" si="7"/>
        <v>42184.333333333328</v>
      </c>
      <c r="K12" s="222">
        <f t="shared" si="7"/>
        <v>8322</v>
      </c>
      <c r="L12" s="224">
        <f t="shared" si="7"/>
        <v>33862.333333333336</v>
      </c>
      <c r="N12" s="113">
        <v>6</v>
      </c>
      <c r="O12" s="191" t="s">
        <v>8</v>
      </c>
      <c r="P12" s="192"/>
      <c r="Q12" s="194">
        <v>30</v>
      </c>
      <c r="R12" s="201"/>
    </row>
    <row r="13" spans="1:19" ht="19" thickBot="1" x14ac:dyDescent="0.4">
      <c r="A13" s="220"/>
      <c r="B13" s="221"/>
      <c r="C13" s="138"/>
      <c r="D13" s="223"/>
      <c r="E13" s="223"/>
      <c r="F13" s="223"/>
      <c r="G13" s="223"/>
      <c r="H13" s="223"/>
      <c r="I13" s="223"/>
      <c r="J13" s="223"/>
      <c r="K13" s="223"/>
      <c r="L13" s="225"/>
      <c r="N13" s="113">
        <v>7</v>
      </c>
      <c r="O13" s="191" t="s">
        <v>125</v>
      </c>
      <c r="P13" s="192"/>
      <c r="Q13" s="194">
        <v>0</v>
      </c>
      <c r="R13" s="201"/>
    </row>
    <row r="14" spans="1:19" ht="15.5" x14ac:dyDescent="0.35">
      <c r="A14" s="7"/>
      <c r="G14" s="7"/>
      <c r="H14" s="7"/>
      <c r="I14" s="7"/>
      <c r="K14" s="98" t="s">
        <v>2</v>
      </c>
      <c r="L14" s="99">
        <f>D12</f>
        <v>3400</v>
      </c>
      <c r="N14" s="113">
        <v>8</v>
      </c>
      <c r="O14" s="191" t="s">
        <v>7</v>
      </c>
      <c r="P14" s="192"/>
      <c r="Q14" s="190">
        <v>0</v>
      </c>
      <c r="R14" s="200"/>
    </row>
    <row r="15" spans="1:19" ht="15.5" x14ac:dyDescent="0.35">
      <c r="A15" s="7"/>
      <c r="B15" s="7"/>
      <c r="C15" s="7"/>
      <c r="G15" s="7"/>
      <c r="H15" s="7"/>
      <c r="I15" s="7"/>
      <c r="J15" s="7"/>
      <c r="K15" s="100" t="s">
        <v>3</v>
      </c>
      <c r="L15" s="101">
        <f>E12</f>
        <v>20000</v>
      </c>
      <c r="N15" s="113">
        <v>9</v>
      </c>
      <c r="O15" s="191" t="s">
        <v>102</v>
      </c>
      <c r="P15" s="192"/>
      <c r="Q15" s="190">
        <v>55</v>
      </c>
      <c r="R15" s="200"/>
    </row>
    <row r="16" spans="1:19" ht="15.5" x14ac:dyDescent="0.35">
      <c r="A16" s="7"/>
      <c r="B16" s="7"/>
      <c r="C16" s="7"/>
      <c r="G16" s="7"/>
      <c r="H16" s="7"/>
      <c r="I16" s="7"/>
      <c r="K16" s="100" t="s">
        <v>19</v>
      </c>
      <c r="L16" s="101">
        <f>F12</f>
        <v>3000</v>
      </c>
      <c r="N16" s="113">
        <v>10</v>
      </c>
      <c r="O16" s="191" t="s">
        <v>129</v>
      </c>
      <c r="P16" s="192"/>
      <c r="Q16" s="190">
        <v>3495</v>
      </c>
      <c r="R16" s="200"/>
    </row>
    <row r="17" spans="1:18" ht="15.5" x14ac:dyDescent="0.35">
      <c r="A17" s="7"/>
      <c r="G17" s="7"/>
      <c r="H17" s="7"/>
      <c r="I17" s="7"/>
      <c r="K17" s="100" t="s">
        <v>105</v>
      </c>
      <c r="L17" s="102">
        <f>Q18</f>
        <v>3360</v>
      </c>
      <c r="N17" s="226" t="s">
        <v>71</v>
      </c>
      <c r="O17" s="227"/>
      <c r="P17" s="228"/>
      <c r="Q17" s="190">
        <f>SUM(Q7:R16)</f>
        <v>8322</v>
      </c>
      <c r="R17" s="200"/>
    </row>
    <row r="18" spans="1:18" ht="15.5" x14ac:dyDescent="0.35">
      <c r="A18" s="7"/>
      <c r="G18" s="7"/>
      <c r="H18" s="7"/>
      <c r="I18" s="7"/>
      <c r="K18" s="117" t="s">
        <v>157</v>
      </c>
      <c r="L18" s="118">
        <f>I12</f>
        <v>2202.3333333333335</v>
      </c>
      <c r="N18" s="226" t="s">
        <v>70</v>
      </c>
      <c r="O18" s="227"/>
      <c r="P18" s="228"/>
      <c r="Q18" s="190">
        <v>3360</v>
      </c>
      <c r="R18" s="200"/>
    </row>
    <row r="19" spans="1:18" ht="16" thickBot="1" x14ac:dyDescent="0.4">
      <c r="A19" s="7"/>
      <c r="B19" s="7"/>
      <c r="C19" s="7"/>
      <c r="G19" s="7"/>
      <c r="H19" s="7"/>
      <c r="I19" s="7"/>
      <c r="K19" s="149" t="s">
        <v>168</v>
      </c>
      <c r="L19" s="103">
        <f>H12</f>
        <v>1900</v>
      </c>
      <c r="N19" s="215" t="s">
        <v>104</v>
      </c>
      <c r="O19" s="216"/>
      <c r="P19" s="217"/>
      <c r="Q19" s="202">
        <f>SUM(Q17:R18)</f>
        <v>11682</v>
      </c>
      <c r="R19" s="203"/>
    </row>
    <row r="20" spans="1:18" ht="16" thickBot="1" x14ac:dyDescent="0.4">
      <c r="K20" s="149" t="s">
        <v>74</v>
      </c>
      <c r="L20" s="103">
        <f>SUM(L14:L19)-L12</f>
        <v>0</v>
      </c>
    </row>
  </sheetData>
  <mergeCells count="40">
    <mergeCell ref="Q14:R14"/>
    <mergeCell ref="N17:P17"/>
    <mergeCell ref="Q17:R17"/>
    <mergeCell ref="N18:P18"/>
    <mergeCell ref="Q18:R18"/>
    <mergeCell ref="O14:P14"/>
    <mergeCell ref="N19:P19"/>
    <mergeCell ref="Q19:R19"/>
    <mergeCell ref="O15:P15"/>
    <mergeCell ref="Q15:R15"/>
    <mergeCell ref="O16:P16"/>
    <mergeCell ref="Q16:R16"/>
    <mergeCell ref="O11:P11"/>
    <mergeCell ref="Q11:R11"/>
    <mergeCell ref="A12:B13"/>
    <mergeCell ref="D12:D13"/>
    <mergeCell ref="E12:E13"/>
    <mergeCell ref="F12:F13"/>
    <mergeCell ref="G12:G13"/>
    <mergeCell ref="I12:I13"/>
    <mergeCell ref="J12:J13"/>
    <mergeCell ref="K12:K13"/>
    <mergeCell ref="H12:H13"/>
    <mergeCell ref="L12:L13"/>
    <mergeCell ref="O12:P12"/>
    <mergeCell ref="Q12:R12"/>
    <mergeCell ref="O13:P13"/>
    <mergeCell ref="Q13:R13"/>
    <mergeCell ref="O8:P8"/>
    <mergeCell ref="Q8:R8"/>
    <mergeCell ref="O9:P9"/>
    <mergeCell ref="Q9:R9"/>
    <mergeCell ref="O10:P10"/>
    <mergeCell ref="Q10:R10"/>
    <mergeCell ref="N5:N6"/>
    <mergeCell ref="O5:R5"/>
    <mergeCell ref="O6:P6"/>
    <mergeCell ref="Q6:R6"/>
    <mergeCell ref="O7:P7"/>
    <mergeCell ref="Q7:R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H2" sqref="H2"/>
    </sheetView>
  </sheetViews>
  <sheetFormatPr defaultRowHeight="14.5" x14ac:dyDescent="0.35"/>
  <cols>
    <col min="1" max="1" width="7.1796875" bestFit="1" customWidth="1"/>
    <col min="2" max="2" width="11" bestFit="1" customWidth="1"/>
    <col min="3" max="3" width="11.7265625" bestFit="1" customWidth="1"/>
    <col min="4" max="4" width="5.81640625" bestFit="1" customWidth="1"/>
    <col min="5" max="5" width="5.08984375" bestFit="1" customWidth="1"/>
    <col min="6" max="6" width="7.1796875" bestFit="1" customWidth="1"/>
    <col min="7" max="7" width="7.54296875" bestFit="1" customWidth="1"/>
    <col min="8" max="8" width="5" bestFit="1" customWidth="1"/>
    <col min="9" max="9" width="5.81640625" bestFit="1" customWidth="1"/>
    <col min="11" max="11" width="11.36328125" bestFit="1" customWidth="1"/>
    <col min="12" max="12" width="12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13</v>
      </c>
      <c r="G1" s="1" t="s">
        <v>4</v>
      </c>
      <c r="H1" s="1" t="s">
        <v>5</v>
      </c>
      <c r="I1" s="1" t="s">
        <v>12</v>
      </c>
      <c r="L1" s="5" t="s">
        <v>17</v>
      </c>
    </row>
    <row r="2" spans="1:12" x14ac:dyDescent="0.35">
      <c r="C2">
        <v>3400</v>
      </c>
      <c r="D2">
        <v>12000</v>
      </c>
      <c r="E2">
        <v>1500</v>
      </c>
      <c r="F2">
        <v>320</v>
      </c>
      <c r="G2">
        <v>583</v>
      </c>
      <c r="H2">
        <f>2180+589+1100</f>
        <v>3869</v>
      </c>
      <c r="I2">
        <f>SUM(C2:H2)</f>
        <v>21672</v>
      </c>
    </row>
    <row r="3" spans="1:12" x14ac:dyDescent="0.35">
      <c r="K3" t="s">
        <v>18</v>
      </c>
      <c r="L3">
        <v>1550</v>
      </c>
    </row>
    <row r="4" spans="1:12" x14ac:dyDescent="0.35">
      <c r="A4" s="2">
        <v>1</v>
      </c>
      <c r="B4" s="2" t="s">
        <v>6</v>
      </c>
      <c r="C4" s="4">
        <f>C2/B14</f>
        <v>566.66666666666663</v>
      </c>
      <c r="D4" s="4">
        <v>2500</v>
      </c>
      <c r="E4" s="4"/>
      <c r="F4" s="2"/>
      <c r="G4" s="2"/>
      <c r="H4" s="2"/>
      <c r="I4" s="6">
        <f t="shared" ref="I4:I10" si="0">SUM(C4:H4)</f>
        <v>3066.6666666666665</v>
      </c>
    </row>
    <row r="5" spans="1:12" x14ac:dyDescent="0.35">
      <c r="A5" s="2">
        <v>2</v>
      </c>
      <c r="B5" s="2" t="s">
        <v>7</v>
      </c>
      <c r="C5" s="4">
        <f>C4</f>
        <v>566.66666666666663</v>
      </c>
      <c r="D5" s="4">
        <v>2000</v>
      </c>
      <c r="E5" s="4"/>
      <c r="F5" s="2"/>
      <c r="G5" s="2"/>
      <c r="H5" s="2"/>
      <c r="I5" s="6">
        <f t="shared" si="0"/>
        <v>2566.6666666666665</v>
      </c>
    </row>
    <row r="6" spans="1:12" x14ac:dyDescent="0.35">
      <c r="A6" s="2">
        <v>3</v>
      </c>
      <c r="B6" s="2" t="s">
        <v>14</v>
      </c>
      <c r="C6" s="4">
        <f>C5</f>
        <v>566.66666666666663</v>
      </c>
      <c r="D6" s="4">
        <v>2500</v>
      </c>
      <c r="E6" s="4"/>
      <c r="F6" s="2"/>
      <c r="G6" s="2"/>
      <c r="H6" s="2"/>
      <c r="I6" s="3">
        <f t="shared" si="0"/>
        <v>3066.6666666666665</v>
      </c>
    </row>
    <row r="7" spans="1:12" x14ac:dyDescent="0.35">
      <c r="A7" s="2">
        <v>4</v>
      </c>
      <c r="B7" s="2" t="s">
        <v>11</v>
      </c>
      <c r="C7" s="4">
        <f>C6</f>
        <v>566.66666666666663</v>
      </c>
      <c r="D7" s="4">
        <v>2500</v>
      </c>
      <c r="E7" s="4">
        <f>E2/B16</f>
        <v>375</v>
      </c>
      <c r="F7" s="2">
        <f>F2/B17</f>
        <v>80</v>
      </c>
      <c r="G7" s="4">
        <f>G2/B18</f>
        <v>145.75</v>
      </c>
      <c r="H7" s="4">
        <f>H2/B19</f>
        <v>967.25</v>
      </c>
      <c r="I7" s="3">
        <f t="shared" si="0"/>
        <v>4634.6666666666661</v>
      </c>
      <c r="K7" t="s">
        <v>12</v>
      </c>
      <c r="L7">
        <f>L2+L3</f>
        <v>1550</v>
      </c>
    </row>
    <row r="8" spans="1:12" x14ac:dyDescent="0.35">
      <c r="A8" s="2">
        <v>5</v>
      </c>
      <c r="B8" s="2" t="s">
        <v>8</v>
      </c>
      <c r="C8" s="4">
        <f>C7</f>
        <v>566.66666666666663</v>
      </c>
      <c r="D8" s="4">
        <v>1250</v>
      </c>
      <c r="E8" s="4">
        <f t="shared" ref="E8:H10" si="1">E7</f>
        <v>375</v>
      </c>
      <c r="F8" s="2">
        <f t="shared" si="1"/>
        <v>80</v>
      </c>
      <c r="G8" s="4">
        <f t="shared" si="1"/>
        <v>145.75</v>
      </c>
      <c r="H8" s="4">
        <f t="shared" si="1"/>
        <v>967.25</v>
      </c>
      <c r="I8" s="3">
        <f t="shared" si="0"/>
        <v>3384.6666666666665</v>
      </c>
    </row>
    <row r="9" spans="1:12" x14ac:dyDescent="0.35">
      <c r="A9" s="2">
        <v>6</v>
      </c>
      <c r="B9" s="2" t="s">
        <v>9</v>
      </c>
      <c r="C9" s="4">
        <f>C8</f>
        <v>566.66666666666663</v>
      </c>
      <c r="D9" s="4">
        <v>1250</v>
      </c>
      <c r="E9" s="4">
        <f t="shared" si="1"/>
        <v>375</v>
      </c>
      <c r="F9" s="2">
        <f t="shared" si="1"/>
        <v>80</v>
      </c>
      <c r="G9" s="4">
        <f t="shared" si="1"/>
        <v>145.75</v>
      </c>
      <c r="H9" s="4">
        <f t="shared" si="1"/>
        <v>967.25</v>
      </c>
      <c r="I9" s="3">
        <f t="shared" si="0"/>
        <v>3384.6666666666665</v>
      </c>
    </row>
    <row r="10" spans="1:12" x14ac:dyDescent="0.35">
      <c r="A10" s="2">
        <v>7</v>
      </c>
      <c r="B10" s="2" t="s">
        <v>10</v>
      </c>
      <c r="C10" s="2">
        <v>0</v>
      </c>
      <c r="D10" s="2">
        <v>0</v>
      </c>
      <c r="E10" s="4">
        <f t="shared" si="1"/>
        <v>375</v>
      </c>
      <c r="F10" s="2">
        <f t="shared" si="1"/>
        <v>80</v>
      </c>
      <c r="G10" s="4">
        <f t="shared" si="1"/>
        <v>145.75</v>
      </c>
      <c r="H10" s="4">
        <f t="shared" si="1"/>
        <v>967.25</v>
      </c>
      <c r="I10" s="3">
        <f t="shared" si="0"/>
        <v>1568</v>
      </c>
    </row>
    <row r="11" spans="1:12" x14ac:dyDescent="0.35">
      <c r="A11" s="2"/>
      <c r="B11" s="2"/>
      <c r="C11" s="2"/>
      <c r="D11" s="2"/>
      <c r="E11" s="2"/>
      <c r="F11" s="2"/>
      <c r="G11" s="2"/>
      <c r="H11" s="2"/>
      <c r="I11" s="3"/>
    </row>
    <row r="12" spans="1:12" x14ac:dyDescent="0.35">
      <c r="A12" s="2"/>
      <c r="B12" s="2"/>
      <c r="C12" s="2"/>
      <c r="D12" s="2"/>
      <c r="E12" s="2"/>
      <c r="F12" s="2"/>
      <c r="G12" s="2"/>
      <c r="H12" s="2"/>
      <c r="I12" s="6">
        <f>SUM(I4:I10)</f>
        <v>21672</v>
      </c>
    </row>
    <row r="13" spans="1:12" x14ac:dyDescent="0.35">
      <c r="A13" s="3"/>
      <c r="B13" s="3" t="s">
        <v>12</v>
      </c>
      <c r="C13" s="6">
        <f t="shared" ref="C13:H13" si="2">SUM(C4:C10)</f>
        <v>3399.9999999999995</v>
      </c>
      <c r="D13" s="6">
        <f t="shared" si="2"/>
        <v>12000</v>
      </c>
      <c r="E13" s="6">
        <f t="shared" si="2"/>
        <v>1500</v>
      </c>
      <c r="F13" s="6">
        <f t="shared" si="2"/>
        <v>320</v>
      </c>
      <c r="G13" s="6">
        <f t="shared" si="2"/>
        <v>583</v>
      </c>
      <c r="H13" s="6">
        <f t="shared" si="2"/>
        <v>3869</v>
      </c>
      <c r="I13" s="6">
        <f>SUM(C13:H13)</f>
        <v>21672</v>
      </c>
    </row>
    <row r="14" spans="1:12" x14ac:dyDescent="0.35">
      <c r="A14" t="s">
        <v>15</v>
      </c>
      <c r="B14">
        <v>6</v>
      </c>
    </row>
    <row r="15" spans="1:12" x14ac:dyDescent="0.35">
      <c r="A15" t="s">
        <v>3</v>
      </c>
      <c r="B15">
        <v>5</v>
      </c>
    </row>
    <row r="16" spans="1:12" x14ac:dyDescent="0.35">
      <c r="A16" t="s">
        <v>19</v>
      </c>
      <c r="B16">
        <v>4</v>
      </c>
    </row>
    <row r="17" spans="1:2" x14ac:dyDescent="0.35">
      <c r="A17" t="s">
        <v>13</v>
      </c>
      <c r="B17">
        <v>4</v>
      </c>
    </row>
    <row r="18" spans="1:2" x14ac:dyDescent="0.35">
      <c r="A18" t="s">
        <v>16</v>
      </c>
      <c r="B18">
        <v>4</v>
      </c>
    </row>
    <row r="19" spans="1:2" x14ac:dyDescent="0.35">
      <c r="A19" t="s">
        <v>5</v>
      </c>
      <c r="B19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9474-1E90-4635-8A44-CE32A184130D}">
  <dimension ref="A1:Q21"/>
  <sheetViews>
    <sheetView zoomScale="85" zoomScaleNormal="85" workbookViewId="0">
      <selection activeCell="R13" sqref="A1:XFD1048576"/>
    </sheetView>
  </sheetViews>
  <sheetFormatPr defaultRowHeight="14.5" x14ac:dyDescent="0.35"/>
  <cols>
    <col min="4" max="4" width="10.7265625" customWidth="1"/>
    <col min="5" max="5" width="11.36328125" customWidth="1"/>
    <col min="6" max="6" width="10.6328125" customWidth="1"/>
    <col min="8" max="8" width="16.7265625" customWidth="1"/>
    <col min="9" max="9" width="16.08984375" customWidth="1"/>
    <col min="10" max="10" width="11.81640625" customWidth="1"/>
  </cols>
  <sheetData>
    <row r="1" spans="1:17" ht="43.5" x14ac:dyDescent="0.35">
      <c r="A1" s="87" t="s">
        <v>0</v>
      </c>
      <c r="B1" s="88" t="s">
        <v>1</v>
      </c>
      <c r="C1" s="88" t="s">
        <v>2</v>
      </c>
      <c r="D1" s="88" t="s">
        <v>3</v>
      </c>
      <c r="E1" s="88" t="s">
        <v>19</v>
      </c>
      <c r="F1" s="89" t="s">
        <v>25</v>
      </c>
      <c r="G1" s="89" t="s">
        <v>156</v>
      </c>
      <c r="H1" s="88" t="s">
        <v>135</v>
      </c>
      <c r="I1" s="89" t="s">
        <v>33</v>
      </c>
      <c r="J1" s="90" t="s">
        <v>24</v>
      </c>
      <c r="L1" s="104"/>
      <c r="M1" s="105" t="s">
        <v>2</v>
      </c>
      <c r="N1" s="105" t="s">
        <v>3</v>
      </c>
      <c r="O1" s="105" t="s">
        <v>19</v>
      </c>
      <c r="P1" s="106" t="s">
        <v>5</v>
      </c>
      <c r="Q1" s="107" t="s">
        <v>170</v>
      </c>
    </row>
    <row r="2" spans="1:17" ht="18.5" x14ac:dyDescent="0.45">
      <c r="A2" s="29">
        <v>1</v>
      </c>
      <c r="B2" s="2" t="s">
        <v>126</v>
      </c>
      <c r="C2" s="4">
        <f t="shared" ref="C2:C12" si="0">$M$4</f>
        <v>309.09090909090907</v>
      </c>
      <c r="D2" s="4">
        <f>$N$4</f>
        <v>2000</v>
      </c>
      <c r="E2" s="4">
        <f t="shared" ref="E2:E11" si="1">$O$4</f>
        <v>375</v>
      </c>
      <c r="F2" s="9">
        <v>1868</v>
      </c>
      <c r="G2" s="9">
        <f t="shared" ref="G2:G11" si="2">$Q$4</f>
        <v>335.44444444444446</v>
      </c>
      <c r="H2" s="4">
        <f>SUM(C2:G2)</f>
        <v>4887.5353535353534</v>
      </c>
      <c r="I2" s="8">
        <v>30</v>
      </c>
      <c r="J2" s="114">
        <f t="shared" ref="J2:J12" si="3">H2-I2</f>
        <v>4857.5353535353534</v>
      </c>
      <c r="L2" s="108" t="s">
        <v>118</v>
      </c>
      <c r="M2" s="68">
        <v>11</v>
      </c>
      <c r="N2" s="68">
        <v>10</v>
      </c>
      <c r="O2" s="68">
        <v>8</v>
      </c>
      <c r="P2" s="68">
        <v>7</v>
      </c>
      <c r="Q2" s="109">
        <v>9</v>
      </c>
    </row>
    <row r="3" spans="1:17" ht="18.5" x14ac:dyDescent="0.45">
      <c r="A3" s="29">
        <v>2</v>
      </c>
      <c r="B3" s="2" t="s">
        <v>11</v>
      </c>
      <c r="C3" s="4">
        <f t="shared" si="0"/>
        <v>309.09090909090907</v>
      </c>
      <c r="D3" s="4">
        <f>$N$4</f>
        <v>2000</v>
      </c>
      <c r="E3" s="4">
        <f t="shared" si="1"/>
        <v>375</v>
      </c>
      <c r="F3" s="9">
        <v>1868</v>
      </c>
      <c r="G3" s="9">
        <f t="shared" si="2"/>
        <v>335.44444444444446</v>
      </c>
      <c r="H3" s="4">
        <f>SUM(C3:G3)</f>
        <v>4887.5353535353534</v>
      </c>
      <c r="I3" s="8">
        <f>O9</f>
        <v>631</v>
      </c>
      <c r="J3" s="114">
        <f t="shared" si="3"/>
        <v>4256.5353535353534</v>
      </c>
      <c r="L3" s="108" t="s">
        <v>133</v>
      </c>
      <c r="M3" s="2">
        <v>3400</v>
      </c>
      <c r="N3" s="2">
        <v>20000</v>
      </c>
      <c r="O3" s="2">
        <v>3000</v>
      </c>
      <c r="P3" s="2">
        <f>O21</f>
        <v>13077</v>
      </c>
      <c r="Q3" s="110">
        <v>3019</v>
      </c>
    </row>
    <row r="4" spans="1:17" ht="19" thickBot="1" x14ac:dyDescent="0.5">
      <c r="A4" s="29">
        <v>3</v>
      </c>
      <c r="B4" s="2" t="s">
        <v>128</v>
      </c>
      <c r="C4" s="4">
        <f t="shared" si="0"/>
        <v>309.09090909090907</v>
      </c>
      <c r="D4" s="4">
        <f>$N$4</f>
        <v>2000</v>
      </c>
      <c r="E4" s="4">
        <v>0</v>
      </c>
      <c r="F4" s="9">
        <v>0</v>
      </c>
      <c r="G4" s="9">
        <v>0</v>
      </c>
      <c r="H4" s="4">
        <f>SUM(C4:G4)</f>
        <v>2309.090909090909</v>
      </c>
      <c r="I4" s="8">
        <f>O11</f>
        <v>0</v>
      </c>
      <c r="J4" s="114">
        <f t="shared" si="3"/>
        <v>2309.090909090909</v>
      </c>
      <c r="L4" s="111" t="s">
        <v>134</v>
      </c>
      <c r="M4" s="112">
        <f>M3/M2</f>
        <v>309.09090909090907</v>
      </c>
      <c r="N4" s="112">
        <f>N3/N2</f>
        <v>2000</v>
      </c>
      <c r="O4" s="112">
        <f>O3/O2</f>
        <v>375</v>
      </c>
      <c r="P4" s="112">
        <f>P3/P2</f>
        <v>1868.1428571428571</v>
      </c>
      <c r="Q4" s="116">
        <f>Q3/Q2</f>
        <v>335.44444444444446</v>
      </c>
    </row>
    <row r="5" spans="1:17" ht="19" thickBot="1" x14ac:dyDescent="0.5">
      <c r="A5" s="29">
        <v>4</v>
      </c>
      <c r="B5" s="2" t="s">
        <v>169</v>
      </c>
      <c r="C5" s="4">
        <f t="shared" si="0"/>
        <v>309.09090909090907</v>
      </c>
      <c r="D5" s="4">
        <f>$N$4</f>
        <v>2000</v>
      </c>
      <c r="E5" s="4">
        <v>375</v>
      </c>
      <c r="F5" s="9">
        <v>1868</v>
      </c>
      <c r="G5" s="9">
        <v>335</v>
      </c>
      <c r="H5" s="4">
        <f t="shared" ref="H5:H12" si="4">SUM(C5:G5)</f>
        <v>4887.090909090909</v>
      </c>
      <c r="I5" s="8">
        <f>O17</f>
        <v>644</v>
      </c>
      <c r="J5" s="114">
        <f t="shared" si="3"/>
        <v>4243.090909090909</v>
      </c>
    </row>
    <row r="6" spans="1:17" ht="18.5" x14ac:dyDescent="0.45">
      <c r="A6" s="92">
        <v>5</v>
      </c>
      <c r="B6" s="93" t="s">
        <v>8</v>
      </c>
      <c r="C6" s="94">
        <f t="shared" si="0"/>
        <v>309.09090909090907</v>
      </c>
      <c r="D6" s="94">
        <v>0</v>
      </c>
      <c r="E6" s="94">
        <f t="shared" si="1"/>
        <v>375</v>
      </c>
      <c r="F6" s="95">
        <v>1868</v>
      </c>
      <c r="G6" s="95">
        <f t="shared" si="2"/>
        <v>335.44444444444446</v>
      </c>
      <c r="H6" s="94">
        <f t="shared" si="4"/>
        <v>2887.5353535353534</v>
      </c>
      <c r="I6" s="96">
        <f>O13</f>
        <v>0</v>
      </c>
      <c r="J6" s="97">
        <f t="shared" si="3"/>
        <v>2887.5353535353534</v>
      </c>
      <c r="L6" s="204" t="s">
        <v>0</v>
      </c>
      <c r="M6" s="206" t="s">
        <v>69</v>
      </c>
      <c r="N6" s="207"/>
      <c r="O6" s="207"/>
      <c r="P6" s="208"/>
    </row>
    <row r="7" spans="1:17" ht="18.5" x14ac:dyDescent="0.45">
      <c r="A7" s="29">
        <v>6</v>
      </c>
      <c r="B7" s="2" t="s">
        <v>131</v>
      </c>
      <c r="C7" s="4">
        <f t="shared" si="0"/>
        <v>309.09090909090907</v>
      </c>
      <c r="D7" s="4">
        <f t="shared" ref="D7:D12" si="5">$N$4</f>
        <v>2000</v>
      </c>
      <c r="E7" s="4">
        <f t="shared" si="1"/>
        <v>375</v>
      </c>
      <c r="F7" s="9">
        <v>1868</v>
      </c>
      <c r="G7" s="9">
        <f t="shared" si="2"/>
        <v>335.44444444444446</v>
      </c>
      <c r="H7" s="4">
        <f t="shared" si="4"/>
        <v>4887.5353535353534</v>
      </c>
      <c r="I7" s="8">
        <f>O8</f>
        <v>226</v>
      </c>
      <c r="J7" s="114">
        <f t="shared" si="3"/>
        <v>4661.5353535353534</v>
      </c>
      <c r="L7" s="205"/>
      <c r="M7" s="209" t="s">
        <v>1</v>
      </c>
      <c r="N7" s="210"/>
      <c r="O7" s="209" t="s">
        <v>103</v>
      </c>
      <c r="P7" s="211"/>
    </row>
    <row r="8" spans="1:17" ht="18.5" x14ac:dyDescent="0.45">
      <c r="A8" s="29">
        <v>7</v>
      </c>
      <c r="B8" s="2" t="s">
        <v>125</v>
      </c>
      <c r="C8" s="4">
        <f t="shared" si="0"/>
        <v>309.09090909090907</v>
      </c>
      <c r="D8" s="4">
        <f t="shared" si="5"/>
        <v>2000</v>
      </c>
      <c r="E8" s="4">
        <v>375</v>
      </c>
      <c r="F8" s="9">
        <v>1868</v>
      </c>
      <c r="G8" s="9">
        <f t="shared" si="2"/>
        <v>335.44444444444446</v>
      </c>
      <c r="H8" s="4">
        <f t="shared" si="4"/>
        <v>4887.5353535353534</v>
      </c>
      <c r="I8" s="8">
        <f>O14</f>
        <v>939</v>
      </c>
      <c r="J8" s="114">
        <f t="shared" si="3"/>
        <v>3948.5353535353534</v>
      </c>
      <c r="L8" s="113">
        <v>1</v>
      </c>
      <c r="M8" s="191" t="s">
        <v>130</v>
      </c>
      <c r="N8" s="192"/>
      <c r="O8" s="194">
        <v>226</v>
      </c>
      <c r="P8" s="201"/>
    </row>
    <row r="9" spans="1:17" ht="18.5" x14ac:dyDescent="0.45">
      <c r="A9" s="80">
        <v>8</v>
      </c>
      <c r="B9" s="3" t="s">
        <v>102</v>
      </c>
      <c r="C9" s="4">
        <f t="shared" si="0"/>
        <v>309.09090909090907</v>
      </c>
      <c r="D9" s="4">
        <f t="shared" si="5"/>
        <v>2000</v>
      </c>
      <c r="E9" s="4">
        <v>0</v>
      </c>
      <c r="F9" s="9">
        <v>0</v>
      </c>
      <c r="G9" s="9">
        <v>335</v>
      </c>
      <c r="H9" s="4">
        <f t="shared" si="4"/>
        <v>2644.090909090909</v>
      </c>
      <c r="I9" s="8">
        <f>O16</f>
        <v>0</v>
      </c>
      <c r="J9" s="114">
        <f>H9-I9</f>
        <v>2644.090909090909</v>
      </c>
      <c r="L9" s="113">
        <v>2</v>
      </c>
      <c r="M9" s="191" t="s">
        <v>11</v>
      </c>
      <c r="N9" s="192"/>
      <c r="O9" s="194">
        <v>631</v>
      </c>
      <c r="P9" s="201"/>
    </row>
    <row r="10" spans="1:17" ht="18.5" x14ac:dyDescent="0.45">
      <c r="A10" s="29">
        <v>9</v>
      </c>
      <c r="B10" s="3" t="s">
        <v>132</v>
      </c>
      <c r="C10" s="4">
        <f t="shared" si="0"/>
        <v>309.09090909090907</v>
      </c>
      <c r="D10" s="4">
        <f t="shared" si="5"/>
        <v>2000</v>
      </c>
      <c r="E10" s="4">
        <f t="shared" si="1"/>
        <v>375</v>
      </c>
      <c r="F10" s="9">
        <v>0</v>
      </c>
      <c r="G10" s="9">
        <f t="shared" si="2"/>
        <v>335.44444444444446</v>
      </c>
      <c r="H10" s="4">
        <f t="shared" si="4"/>
        <v>3019.5353535353534</v>
      </c>
      <c r="I10" s="8">
        <f>O15</f>
        <v>655</v>
      </c>
      <c r="J10" s="114">
        <f t="shared" si="3"/>
        <v>2364.5353535353534</v>
      </c>
      <c r="L10" s="113">
        <v>3</v>
      </c>
      <c r="M10" s="191" t="s">
        <v>126</v>
      </c>
      <c r="N10" s="192"/>
      <c r="O10" s="194">
        <v>30</v>
      </c>
      <c r="P10" s="201"/>
    </row>
    <row r="11" spans="1:17" ht="18.5" x14ac:dyDescent="0.45">
      <c r="A11" s="29">
        <v>10</v>
      </c>
      <c r="B11" s="3" t="s">
        <v>129</v>
      </c>
      <c r="C11" s="4">
        <f t="shared" si="0"/>
        <v>309.09090909090907</v>
      </c>
      <c r="D11" s="4">
        <f t="shared" si="5"/>
        <v>2000</v>
      </c>
      <c r="E11" s="4">
        <f t="shared" si="1"/>
        <v>375</v>
      </c>
      <c r="F11" s="9">
        <v>1868</v>
      </c>
      <c r="G11" s="9">
        <f t="shared" si="2"/>
        <v>335.44444444444446</v>
      </c>
      <c r="H11" s="4">
        <f t="shared" si="4"/>
        <v>4887.5353535353534</v>
      </c>
      <c r="I11" s="8">
        <f>O18</f>
        <v>6828</v>
      </c>
      <c r="J11" s="114">
        <f t="shared" si="3"/>
        <v>-1940.4646464646466</v>
      </c>
      <c r="L11" s="113">
        <v>4</v>
      </c>
      <c r="M11" s="191" t="s">
        <v>128</v>
      </c>
      <c r="N11" s="192"/>
      <c r="O11" s="194">
        <v>0</v>
      </c>
      <c r="P11" s="201"/>
    </row>
    <row r="12" spans="1:17" ht="18.5" x14ac:dyDescent="0.45">
      <c r="A12" s="121">
        <v>11</v>
      </c>
      <c r="B12" s="122" t="s">
        <v>145</v>
      </c>
      <c r="C12" s="4">
        <f t="shared" si="0"/>
        <v>309.09090909090907</v>
      </c>
      <c r="D12" s="4">
        <f t="shared" si="5"/>
        <v>2000</v>
      </c>
      <c r="E12" s="4">
        <v>0</v>
      </c>
      <c r="F12" s="9">
        <v>0</v>
      </c>
      <c r="G12" s="9">
        <v>0</v>
      </c>
      <c r="H12" s="4">
        <f t="shared" si="4"/>
        <v>2309.090909090909</v>
      </c>
      <c r="I12" s="8">
        <f>O12</f>
        <v>0</v>
      </c>
      <c r="J12" s="114">
        <f t="shared" si="3"/>
        <v>2309.090909090909</v>
      </c>
      <c r="L12" s="113">
        <v>5</v>
      </c>
      <c r="M12" s="191" t="str">
        <f>B12</f>
        <v>Ruban</v>
      </c>
      <c r="N12" s="192"/>
      <c r="O12" s="194">
        <v>0</v>
      </c>
      <c r="P12" s="201"/>
    </row>
    <row r="13" spans="1:17" x14ac:dyDescent="0.35">
      <c r="A13" s="218" t="s">
        <v>12</v>
      </c>
      <c r="B13" s="219"/>
      <c r="C13" s="222">
        <f t="shared" ref="C13:J13" si="6">SUM(C2:C12)</f>
        <v>3399.9999999999995</v>
      </c>
      <c r="D13" s="222">
        <f t="shared" si="6"/>
        <v>20000</v>
      </c>
      <c r="E13" s="222">
        <f t="shared" si="6"/>
        <v>3000</v>
      </c>
      <c r="F13" s="222">
        <f t="shared" si="6"/>
        <v>13076</v>
      </c>
      <c r="G13" s="222">
        <f t="shared" si="6"/>
        <v>3018.1111111111109</v>
      </c>
      <c r="H13" s="222">
        <f t="shared" si="6"/>
        <v>42494.111111111109</v>
      </c>
      <c r="I13" s="222">
        <f t="shared" si="6"/>
        <v>9953</v>
      </c>
      <c r="J13" s="224">
        <f t="shared" si="6"/>
        <v>32541.111111111106</v>
      </c>
      <c r="L13" s="113">
        <v>6</v>
      </c>
      <c r="M13" s="191" t="s">
        <v>8</v>
      </c>
      <c r="N13" s="192"/>
      <c r="O13" s="194">
        <v>0</v>
      </c>
      <c r="P13" s="201"/>
    </row>
    <row r="14" spans="1:17" ht="15" thickBot="1" x14ac:dyDescent="0.4">
      <c r="A14" s="220"/>
      <c r="B14" s="221"/>
      <c r="C14" s="223"/>
      <c r="D14" s="223"/>
      <c r="E14" s="223"/>
      <c r="F14" s="223"/>
      <c r="G14" s="223"/>
      <c r="H14" s="223"/>
      <c r="I14" s="223"/>
      <c r="J14" s="225"/>
      <c r="L14" s="113">
        <v>7</v>
      </c>
      <c r="M14" s="191" t="s">
        <v>125</v>
      </c>
      <c r="N14" s="192"/>
      <c r="O14" s="194">
        <v>939</v>
      </c>
      <c r="P14" s="201"/>
    </row>
    <row r="15" spans="1:17" ht="15.5" x14ac:dyDescent="0.35">
      <c r="A15" s="7"/>
      <c r="F15" s="7"/>
      <c r="G15" s="7"/>
      <c r="I15" s="98" t="s">
        <v>2</v>
      </c>
      <c r="J15" s="99">
        <f>C13</f>
        <v>3399.9999999999995</v>
      </c>
      <c r="L15" s="113">
        <v>8</v>
      </c>
      <c r="M15" s="191" t="s">
        <v>7</v>
      </c>
      <c r="N15" s="192"/>
      <c r="O15" s="190">
        <v>655</v>
      </c>
      <c r="P15" s="200"/>
    </row>
    <row r="16" spans="1:17" ht="15.5" x14ac:dyDescent="0.35">
      <c r="A16" s="7"/>
      <c r="B16" s="7"/>
      <c r="F16" s="7"/>
      <c r="G16" s="7"/>
      <c r="H16" s="23"/>
      <c r="I16" s="100" t="s">
        <v>3</v>
      </c>
      <c r="J16" s="101">
        <f>D13</f>
        <v>20000</v>
      </c>
      <c r="L16" s="113">
        <v>9</v>
      </c>
      <c r="M16" s="191" t="s">
        <v>102</v>
      </c>
      <c r="N16" s="192"/>
      <c r="O16" s="190">
        <v>0</v>
      </c>
      <c r="P16" s="200"/>
    </row>
    <row r="17" spans="1:16" ht="15.5" x14ac:dyDescent="0.35">
      <c r="A17" s="7"/>
      <c r="B17" s="7"/>
      <c r="F17" s="7"/>
      <c r="G17" s="7"/>
      <c r="H17" s="22"/>
      <c r="I17" s="100" t="s">
        <v>19</v>
      </c>
      <c r="J17" s="101">
        <v>3000</v>
      </c>
      <c r="L17" s="113">
        <v>10</v>
      </c>
      <c r="M17" s="191" t="s">
        <v>169</v>
      </c>
      <c r="N17" s="192"/>
      <c r="O17" s="190">
        <v>644</v>
      </c>
      <c r="P17" s="200"/>
    </row>
    <row r="18" spans="1:16" ht="15.5" x14ac:dyDescent="0.35">
      <c r="A18" s="7"/>
      <c r="F18" s="7"/>
      <c r="G18" s="7"/>
      <c r="I18" s="100" t="s">
        <v>105</v>
      </c>
      <c r="J18" s="102">
        <f>O20</f>
        <v>3124</v>
      </c>
      <c r="L18" s="113">
        <v>11</v>
      </c>
      <c r="M18" s="191" t="s">
        <v>129</v>
      </c>
      <c r="N18" s="192"/>
      <c r="O18" s="190">
        <v>6828</v>
      </c>
      <c r="P18" s="200"/>
    </row>
    <row r="19" spans="1:16" ht="15.5" x14ac:dyDescent="0.35">
      <c r="A19" s="7"/>
      <c r="F19" s="7"/>
      <c r="G19" s="7"/>
      <c r="I19" s="117" t="s">
        <v>171</v>
      </c>
      <c r="J19" s="118">
        <v>3019</v>
      </c>
      <c r="L19" s="212" t="s">
        <v>71</v>
      </c>
      <c r="M19" s="213"/>
      <c r="N19" s="214"/>
      <c r="O19" s="190">
        <f>SUM(O8:P18)</f>
        <v>9953</v>
      </c>
      <c r="P19" s="200"/>
    </row>
    <row r="20" spans="1:16" ht="16" thickBot="1" x14ac:dyDescent="0.4">
      <c r="A20" s="7"/>
      <c r="B20" s="7"/>
      <c r="F20" s="7"/>
      <c r="G20" s="7"/>
      <c r="I20" s="115" t="s">
        <v>74</v>
      </c>
      <c r="J20" s="103">
        <f>SUM(J15:J19)-J13</f>
        <v>1.8888888888941437</v>
      </c>
      <c r="L20" s="212" t="s">
        <v>70</v>
      </c>
      <c r="M20" s="213"/>
      <c r="N20" s="214"/>
      <c r="O20" s="190">
        <v>3124</v>
      </c>
      <c r="P20" s="200"/>
    </row>
    <row r="21" spans="1:16" ht="16" thickBot="1" x14ac:dyDescent="0.4">
      <c r="L21" s="215" t="s">
        <v>104</v>
      </c>
      <c r="M21" s="216"/>
      <c r="N21" s="217"/>
      <c r="O21" s="202">
        <f>SUM(O19:P20)</f>
        <v>13077</v>
      </c>
      <c r="P21" s="203"/>
    </row>
  </sheetData>
  <mergeCells count="41">
    <mergeCell ref="M10:N10"/>
    <mergeCell ref="O17:P17"/>
    <mergeCell ref="M18:N18"/>
    <mergeCell ref="O18:P18"/>
    <mergeCell ref="L19:N19"/>
    <mergeCell ref="O14:P14"/>
    <mergeCell ref="O15:P15"/>
    <mergeCell ref="O16:P16"/>
    <mergeCell ref="O12:P12"/>
    <mergeCell ref="O13:P13"/>
    <mergeCell ref="O11:P11"/>
    <mergeCell ref="O10:P10"/>
    <mergeCell ref="M17:N17"/>
    <mergeCell ref="M11:N11"/>
    <mergeCell ref="M12:N12"/>
    <mergeCell ref="M15:N15"/>
    <mergeCell ref="L6:L7"/>
    <mergeCell ref="M6:P6"/>
    <mergeCell ref="M7:N7"/>
    <mergeCell ref="M8:N8"/>
    <mergeCell ref="M9:N9"/>
    <mergeCell ref="O8:P8"/>
    <mergeCell ref="O9:P9"/>
    <mergeCell ref="O7:P7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M13:N13"/>
    <mergeCell ref="M14:N14"/>
    <mergeCell ref="M16:N16"/>
    <mergeCell ref="O19:P19"/>
    <mergeCell ref="L20:N20"/>
    <mergeCell ref="O20:P20"/>
    <mergeCell ref="L21:N21"/>
    <mergeCell ref="O21:P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BE01-A114-460C-B7A3-D559441AE802}">
  <dimension ref="D1:Q15"/>
  <sheetViews>
    <sheetView workbookViewId="0">
      <selection activeCell="J18" sqref="J18"/>
    </sheetView>
  </sheetViews>
  <sheetFormatPr defaultRowHeight="14.5" x14ac:dyDescent="0.35"/>
  <cols>
    <col min="4" max="4" width="11" bestFit="1" customWidth="1"/>
    <col min="15" max="15" width="11" bestFit="1" customWidth="1"/>
    <col min="16" max="16" width="11.81640625" customWidth="1"/>
  </cols>
  <sheetData>
    <row r="1" spans="4:17" x14ac:dyDescent="0.35">
      <c r="G1">
        <v>7574</v>
      </c>
      <c r="H1">
        <v>12750</v>
      </c>
    </row>
    <row r="2" spans="4:17" x14ac:dyDescent="0.35">
      <c r="D2" s="2" t="s">
        <v>126</v>
      </c>
      <c r="E2" s="4">
        <v>325</v>
      </c>
      <c r="F2" s="4">
        <v>2000</v>
      </c>
      <c r="G2">
        <f>$G$1/12</f>
        <v>631.16666666666663</v>
      </c>
      <c r="H2">
        <f t="shared" ref="H2:H13" si="0">$H$1/8</f>
        <v>1593.75</v>
      </c>
      <c r="I2">
        <v>-280</v>
      </c>
      <c r="J2" s="37">
        <f>SUM(E2:I2)</f>
        <v>4269.9166666666661</v>
      </c>
    </row>
    <row r="3" spans="4:17" x14ac:dyDescent="0.35">
      <c r="D3" s="2" t="s">
        <v>11</v>
      </c>
      <c r="E3" s="4">
        <v>325</v>
      </c>
      <c r="F3" s="4">
        <v>2000</v>
      </c>
      <c r="G3">
        <f t="shared" ref="G3:G13" si="1">$G$1/12</f>
        <v>631.16666666666663</v>
      </c>
      <c r="H3">
        <f t="shared" si="0"/>
        <v>1593.75</v>
      </c>
      <c r="I3">
        <v>-441</v>
      </c>
      <c r="J3" s="37">
        <f t="shared" ref="J3:J13" si="2">SUM(E3:I3)</f>
        <v>4108.9166666666661</v>
      </c>
      <c r="O3" s="2" t="s">
        <v>126</v>
      </c>
      <c r="P3" s="4">
        <v>4269.9166666666661</v>
      </c>
    </row>
    <row r="4" spans="4:17" x14ac:dyDescent="0.35">
      <c r="D4" s="2" t="s">
        <v>128</v>
      </c>
      <c r="E4" s="4">
        <v>325</v>
      </c>
      <c r="F4" s="4">
        <v>2000</v>
      </c>
      <c r="G4">
        <f t="shared" si="1"/>
        <v>631.16666666666663</v>
      </c>
      <c r="H4">
        <v>0</v>
      </c>
      <c r="J4" s="37">
        <f t="shared" si="2"/>
        <v>2956.1666666666665</v>
      </c>
      <c r="O4" s="2" t="s">
        <v>11</v>
      </c>
      <c r="P4" s="4">
        <v>4108.9166666666661</v>
      </c>
      <c r="Q4">
        <v>-790</v>
      </c>
    </row>
    <row r="5" spans="4:17" x14ac:dyDescent="0.35">
      <c r="D5" s="2" t="s">
        <v>169</v>
      </c>
      <c r="E5" s="4">
        <v>325</v>
      </c>
      <c r="F5" s="4">
        <v>2000</v>
      </c>
      <c r="G5">
        <f t="shared" si="1"/>
        <v>631.16666666666663</v>
      </c>
      <c r="H5">
        <f t="shared" si="0"/>
        <v>1593.75</v>
      </c>
      <c r="J5" s="37">
        <f t="shared" si="2"/>
        <v>4549.9166666666661</v>
      </c>
      <c r="O5" s="2" t="s">
        <v>128</v>
      </c>
      <c r="P5" s="4">
        <v>2956.1666666666665</v>
      </c>
    </row>
    <row r="6" spans="4:17" x14ac:dyDescent="0.35">
      <c r="D6" s="93" t="s">
        <v>8</v>
      </c>
      <c r="E6" s="94">
        <v>325</v>
      </c>
      <c r="F6" s="94">
        <v>0</v>
      </c>
      <c r="G6">
        <f t="shared" si="1"/>
        <v>631.16666666666663</v>
      </c>
      <c r="H6">
        <f t="shared" si="0"/>
        <v>1593.75</v>
      </c>
      <c r="J6" s="37">
        <f t="shared" si="2"/>
        <v>2549.9166666666665</v>
      </c>
      <c r="O6" s="2" t="s">
        <v>169</v>
      </c>
      <c r="P6" s="4">
        <v>4549.9166666666661</v>
      </c>
    </row>
    <row r="7" spans="4:17" x14ac:dyDescent="0.35">
      <c r="D7" s="2" t="s">
        <v>131</v>
      </c>
      <c r="E7" s="4">
        <v>325</v>
      </c>
      <c r="F7" s="4">
        <v>2000</v>
      </c>
      <c r="G7">
        <f t="shared" si="1"/>
        <v>631.16666666666663</v>
      </c>
      <c r="H7">
        <f t="shared" si="0"/>
        <v>1593.75</v>
      </c>
      <c r="I7">
        <v>-105</v>
      </c>
      <c r="J7" s="37">
        <f t="shared" si="2"/>
        <v>4444.9166666666661</v>
      </c>
      <c r="M7">
        <v>23900</v>
      </c>
      <c r="O7" s="2" t="s">
        <v>8</v>
      </c>
      <c r="P7" s="4">
        <v>2549.9166666666665</v>
      </c>
    </row>
    <row r="8" spans="4:17" x14ac:dyDescent="0.35">
      <c r="D8" s="2" t="s">
        <v>125</v>
      </c>
      <c r="E8" s="4">
        <v>325</v>
      </c>
      <c r="F8" s="4">
        <v>2000</v>
      </c>
      <c r="G8">
        <f t="shared" si="1"/>
        <v>631.16666666666663</v>
      </c>
      <c r="H8">
        <v>0</v>
      </c>
      <c r="J8" s="37">
        <f>SUM(E8:I8)+790</f>
        <v>3746.1666666666665</v>
      </c>
      <c r="M8">
        <v>3000</v>
      </c>
      <c r="O8" s="2" t="s">
        <v>131</v>
      </c>
      <c r="P8" s="4">
        <v>4444.9166666666661</v>
      </c>
    </row>
    <row r="9" spans="4:17" x14ac:dyDescent="0.35">
      <c r="D9" s="3" t="s">
        <v>102</v>
      </c>
      <c r="E9" s="4">
        <v>325</v>
      </c>
      <c r="F9" s="4">
        <v>2000</v>
      </c>
      <c r="G9">
        <f t="shared" si="1"/>
        <v>631.16666666666663</v>
      </c>
      <c r="H9">
        <v>0</v>
      </c>
      <c r="J9" s="37">
        <f t="shared" si="2"/>
        <v>2956.1666666666665</v>
      </c>
      <c r="M9">
        <v>3171</v>
      </c>
      <c r="O9" s="2" t="s">
        <v>125</v>
      </c>
      <c r="P9" s="4">
        <v>2956.1666666666665</v>
      </c>
    </row>
    <row r="10" spans="4:17" x14ac:dyDescent="0.35">
      <c r="D10" s="3" t="s">
        <v>132</v>
      </c>
      <c r="E10" s="4">
        <v>325</v>
      </c>
      <c r="F10" s="4">
        <v>2000</v>
      </c>
      <c r="G10">
        <f t="shared" si="1"/>
        <v>631.16666666666663</v>
      </c>
      <c r="H10">
        <v>0</v>
      </c>
      <c r="I10">
        <v>-2190</v>
      </c>
      <c r="J10" s="37">
        <f t="shared" si="2"/>
        <v>766.16666666666652</v>
      </c>
      <c r="O10" s="2" t="s">
        <v>102</v>
      </c>
      <c r="P10" s="4">
        <v>2956.1666666666665</v>
      </c>
    </row>
    <row r="11" spans="4:17" x14ac:dyDescent="0.35">
      <c r="D11" s="3" t="s">
        <v>129</v>
      </c>
      <c r="E11" s="4">
        <v>325</v>
      </c>
      <c r="F11" s="4">
        <v>2000</v>
      </c>
      <c r="G11">
        <f t="shared" si="1"/>
        <v>631.16666666666663</v>
      </c>
      <c r="H11">
        <f t="shared" si="0"/>
        <v>1593.75</v>
      </c>
      <c r="I11">
        <v>-9637</v>
      </c>
      <c r="J11" s="37">
        <f t="shared" si="2"/>
        <v>-5087.0833333333339</v>
      </c>
      <c r="O11" s="2" t="s">
        <v>132</v>
      </c>
      <c r="P11" s="4">
        <v>766.16666666666652</v>
      </c>
    </row>
    <row r="12" spans="4:17" x14ac:dyDescent="0.35">
      <c r="D12" s="122" t="s">
        <v>173</v>
      </c>
      <c r="E12" s="4">
        <v>325</v>
      </c>
      <c r="F12" s="4">
        <v>0</v>
      </c>
      <c r="G12">
        <f t="shared" si="1"/>
        <v>631.16666666666663</v>
      </c>
      <c r="H12">
        <f t="shared" si="0"/>
        <v>1593.75</v>
      </c>
      <c r="J12" s="37">
        <f t="shared" si="2"/>
        <v>2549.9166666666665</v>
      </c>
      <c r="O12" s="2" t="s">
        <v>129</v>
      </c>
      <c r="P12" s="4">
        <v>-5087.0833333333339</v>
      </c>
    </row>
    <row r="13" spans="4:17" x14ac:dyDescent="0.35">
      <c r="D13" s="122" t="s">
        <v>145</v>
      </c>
      <c r="E13" s="4">
        <v>325</v>
      </c>
      <c r="F13" s="4">
        <v>2000</v>
      </c>
      <c r="G13">
        <f t="shared" si="1"/>
        <v>631.16666666666663</v>
      </c>
      <c r="H13">
        <f t="shared" si="0"/>
        <v>1593.75</v>
      </c>
      <c r="I13">
        <v>-1500</v>
      </c>
      <c r="J13" s="37">
        <f t="shared" si="2"/>
        <v>3049.9166666666661</v>
      </c>
      <c r="O13" s="2" t="s">
        <v>173</v>
      </c>
      <c r="P13" s="4">
        <v>2549.9166666666665</v>
      </c>
    </row>
    <row r="14" spans="4:17" x14ac:dyDescent="0.35">
      <c r="J14" s="37">
        <f>SUM(J2:J13)</f>
        <v>30861.000000000007</v>
      </c>
      <c r="O14" s="2" t="s">
        <v>145</v>
      </c>
      <c r="P14" s="4">
        <v>3049.9166666666661</v>
      </c>
    </row>
    <row r="15" spans="4:17" x14ac:dyDescent="0.35">
      <c r="O15" s="155" t="s">
        <v>12</v>
      </c>
      <c r="P15" s="37">
        <f>SUM(P3:P14)</f>
        <v>30071.000000000007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F1C7-C43F-4D6C-9F4D-0F46C84F8C97}">
  <dimension ref="A1:AG25"/>
  <sheetViews>
    <sheetView zoomScale="80" zoomScaleNormal="80" workbookViewId="0">
      <selection activeCell="H2" sqref="H2"/>
    </sheetView>
  </sheetViews>
  <sheetFormatPr defaultRowHeight="14.5" x14ac:dyDescent="0.35"/>
  <cols>
    <col min="1" max="1" width="5.453125" style="7" customWidth="1"/>
    <col min="2" max="2" width="11" bestFit="1" customWidth="1"/>
    <col min="3" max="3" width="12.36328125" bestFit="1" customWidth="1"/>
    <col min="4" max="4" width="7.36328125" bestFit="1" customWidth="1"/>
    <col min="5" max="5" width="6.08984375" bestFit="1" customWidth="1"/>
    <col min="6" max="6" width="7.453125" bestFit="1" customWidth="1"/>
    <col min="7" max="7" width="7.90625" bestFit="1" customWidth="1"/>
    <col min="8" max="8" width="7.26953125" style="7" bestFit="1" customWidth="1"/>
    <col min="9" max="9" width="15.36328125" style="7" bestFit="1" customWidth="1"/>
    <col min="10" max="10" width="9.90625" bestFit="1" customWidth="1"/>
    <col min="11" max="11" width="10.08984375" style="7" bestFit="1" customWidth="1"/>
    <col min="12" max="12" width="8.81640625" customWidth="1"/>
    <col min="13" max="13" width="12.7265625" bestFit="1" customWidth="1"/>
    <col min="17" max="17" width="15.36328125" style="7" bestFit="1" customWidth="1"/>
    <col min="18" max="18" width="12.81640625" bestFit="1" customWidth="1"/>
  </cols>
  <sheetData>
    <row r="1" spans="1:33" ht="30" customHeigh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19</v>
      </c>
      <c r="F1" s="25" t="s">
        <v>13</v>
      </c>
      <c r="G1" s="25" t="s">
        <v>4</v>
      </c>
      <c r="H1" s="26" t="s">
        <v>25</v>
      </c>
      <c r="I1" s="26" t="s">
        <v>21</v>
      </c>
      <c r="J1" s="25" t="s">
        <v>23</v>
      </c>
      <c r="K1" s="26" t="s">
        <v>26</v>
      </c>
      <c r="L1" s="27" t="s">
        <v>24</v>
      </c>
    </row>
    <row r="2" spans="1:33" ht="18.5" x14ac:dyDescent="0.45">
      <c r="A2" s="28"/>
      <c r="B2" s="16"/>
      <c r="C2" s="17">
        <v>3400</v>
      </c>
      <c r="D2" s="17">
        <v>12000</v>
      </c>
      <c r="E2" s="17">
        <v>2300</v>
      </c>
      <c r="F2" s="17">
        <v>500</v>
      </c>
      <c r="G2" s="17"/>
      <c r="H2" s="19">
        <f>2202+6479</f>
        <v>8681</v>
      </c>
      <c r="I2" s="19">
        <v>1500</v>
      </c>
      <c r="J2" s="17">
        <f>SUM(C2:I2)</f>
        <v>28381</v>
      </c>
      <c r="K2" s="19">
        <v>6479</v>
      </c>
      <c r="L2" s="32">
        <f>J2-K2</f>
        <v>21902</v>
      </c>
      <c r="R2" s="5" t="s">
        <v>17</v>
      </c>
    </row>
    <row r="3" spans="1:33" ht="18.5" x14ac:dyDescent="0.45">
      <c r="A3" s="28"/>
      <c r="B3" s="16"/>
      <c r="C3" s="20"/>
      <c r="D3" s="17"/>
      <c r="E3" s="18"/>
      <c r="F3" s="18"/>
      <c r="G3" s="18"/>
      <c r="H3" s="21"/>
      <c r="I3" s="21"/>
      <c r="J3" s="18"/>
      <c r="K3" s="21"/>
      <c r="L3" s="32"/>
      <c r="M3" s="14"/>
    </row>
    <row r="4" spans="1:33" ht="18.5" x14ac:dyDescent="0.45">
      <c r="A4" s="29">
        <v>1</v>
      </c>
      <c r="B4" s="2" t="s">
        <v>6</v>
      </c>
      <c r="C4" s="4">
        <f t="shared" ref="C4:C9" si="0">$C$2/$C$19</f>
        <v>425</v>
      </c>
      <c r="D4" s="4">
        <v>1406</v>
      </c>
      <c r="E4" s="4">
        <f t="shared" ref="E4:E9" si="1">$E$2/$E$19</f>
        <v>383.33333333333331</v>
      </c>
      <c r="F4" s="4">
        <f t="shared" ref="F4:F9" si="2">$F$2/$F$19</f>
        <v>71.428571428571431</v>
      </c>
      <c r="G4" s="4">
        <f t="shared" ref="G4:G9" si="3">$G$2/$G$19</f>
        <v>0</v>
      </c>
      <c r="H4" s="9">
        <f>$H$2/$H$19</f>
        <v>1240.1428571428571</v>
      </c>
      <c r="I4" s="9">
        <f t="shared" ref="I4:I9" si="4">$I$2/$I$19</f>
        <v>187.5</v>
      </c>
      <c r="J4" s="4">
        <f>SUM(C4:I4)</f>
        <v>3713.4047619047624</v>
      </c>
      <c r="K4" s="8">
        <v>1849</v>
      </c>
      <c r="L4" s="32">
        <f>J4-K4</f>
        <v>1864.4047619047624</v>
      </c>
      <c r="M4" s="14"/>
      <c r="Q4" s="7" t="s">
        <v>32</v>
      </c>
      <c r="R4">
        <v>552</v>
      </c>
    </row>
    <row r="5" spans="1:33" ht="30" x14ac:dyDescent="0.45">
      <c r="A5" s="29">
        <v>2</v>
      </c>
      <c r="B5" s="2" t="s">
        <v>11</v>
      </c>
      <c r="C5" s="4">
        <f t="shared" si="0"/>
        <v>425</v>
      </c>
      <c r="D5" s="4">
        <v>1406</v>
      </c>
      <c r="E5" s="4">
        <f t="shared" si="1"/>
        <v>383.33333333333331</v>
      </c>
      <c r="F5" s="4">
        <f t="shared" si="2"/>
        <v>71.428571428571431</v>
      </c>
      <c r="G5" s="4">
        <f t="shared" si="3"/>
        <v>0</v>
      </c>
      <c r="H5" s="9">
        <f t="shared" ref="H5:H10" si="5">$H$2/$H$19</f>
        <v>1240.1428571428571</v>
      </c>
      <c r="I5" s="9">
        <f t="shared" si="4"/>
        <v>187.5</v>
      </c>
      <c r="J5" s="4">
        <f t="shared" ref="J5:J12" si="6">SUM(C5:I5)</f>
        <v>3713.4047619047624</v>
      </c>
      <c r="K5" s="8">
        <v>784</v>
      </c>
      <c r="L5" s="32">
        <f>J5-K5</f>
        <v>2929.4047619047624</v>
      </c>
      <c r="M5" s="14"/>
      <c r="Q5" s="7" t="s">
        <v>35</v>
      </c>
      <c r="R5">
        <v>273</v>
      </c>
    </row>
    <row r="6" spans="1:33" ht="18.5" x14ac:dyDescent="0.45">
      <c r="A6" s="29">
        <v>3</v>
      </c>
      <c r="B6" s="2" t="s">
        <v>8</v>
      </c>
      <c r="C6" s="4">
        <f t="shared" si="0"/>
        <v>425</v>
      </c>
      <c r="D6" s="4">
        <v>1406</v>
      </c>
      <c r="E6" s="4">
        <f t="shared" si="1"/>
        <v>383.33333333333331</v>
      </c>
      <c r="F6" s="4">
        <f t="shared" si="2"/>
        <v>71.428571428571431</v>
      </c>
      <c r="G6" s="4">
        <f t="shared" si="3"/>
        <v>0</v>
      </c>
      <c r="H6" s="9">
        <f t="shared" si="5"/>
        <v>1240.1428571428571</v>
      </c>
      <c r="I6" s="9">
        <f t="shared" si="4"/>
        <v>187.5</v>
      </c>
      <c r="J6" s="4">
        <f t="shared" si="6"/>
        <v>3713.4047619047624</v>
      </c>
      <c r="K6" s="8">
        <v>30</v>
      </c>
      <c r="L6" s="32">
        <f>J6-K6</f>
        <v>3683.4047619047624</v>
      </c>
      <c r="M6" s="14"/>
    </row>
    <row r="7" spans="1:33" ht="18.5" x14ac:dyDescent="0.45">
      <c r="A7" s="29">
        <v>4</v>
      </c>
      <c r="B7" s="2" t="s">
        <v>9</v>
      </c>
      <c r="C7" s="4">
        <f t="shared" si="0"/>
        <v>425</v>
      </c>
      <c r="D7" s="4">
        <v>1406</v>
      </c>
      <c r="E7" s="4">
        <f t="shared" si="1"/>
        <v>383.33333333333331</v>
      </c>
      <c r="F7" s="4">
        <f t="shared" si="2"/>
        <v>71.428571428571431</v>
      </c>
      <c r="G7" s="4">
        <f t="shared" si="3"/>
        <v>0</v>
      </c>
      <c r="H7" s="9">
        <f t="shared" si="5"/>
        <v>1240.1428571428571</v>
      </c>
      <c r="I7" s="9">
        <f t="shared" si="4"/>
        <v>187.5</v>
      </c>
      <c r="J7" s="4">
        <f t="shared" si="6"/>
        <v>3713.4047619047624</v>
      </c>
      <c r="K7" s="30">
        <v>0</v>
      </c>
      <c r="L7" s="32">
        <f t="shared" ref="L7:L12" si="7">J7-K7</f>
        <v>3713.4047619047624</v>
      </c>
      <c r="M7" s="15"/>
    </row>
    <row r="8" spans="1:33" ht="18.5" x14ac:dyDescent="0.45">
      <c r="A8" s="29">
        <v>5</v>
      </c>
      <c r="B8" s="2" t="s">
        <v>10</v>
      </c>
      <c r="C8" s="4">
        <f t="shared" si="0"/>
        <v>425</v>
      </c>
      <c r="D8" s="4">
        <v>1406</v>
      </c>
      <c r="E8" s="4">
        <f t="shared" si="1"/>
        <v>383.33333333333331</v>
      </c>
      <c r="F8" s="4">
        <f t="shared" si="2"/>
        <v>71.428571428571431</v>
      </c>
      <c r="G8" s="4">
        <f t="shared" si="3"/>
        <v>0</v>
      </c>
      <c r="H8" s="9">
        <f t="shared" si="5"/>
        <v>1240.1428571428571</v>
      </c>
      <c r="I8" s="9">
        <f t="shared" si="4"/>
        <v>187.5</v>
      </c>
      <c r="J8" s="4">
        <f t="shared" si="6"/>
        <v>3713.4047619047624</v>
      </c>
      <c r="K8" s="8">
        <v>2137</v>
      </c>
      <c r="L8" s="32">
        <f>J8-K8</f>
        <v>1576.4047619047624</v>
      </c>
      <c r="M8" s="14"/>
      <c r="Q8" s="7" t="s">
        <v>12</v>
      </c>
      <c r="R8">
        <v>552</v>
      </c>
    </row>
    <row r="9" spans="1:33" ht="18.5" x14ac:dyDescent="0.45">
      <c r="A9" s="29">
        <v>6</v>
      </c>
      <c r="B9" s="2" t="s">
        <v>20</v>
      </c>
      <c r="C9" s="4">
        <f t="shared" si="0"/>
        <v>425</v>
      </c>
      <c r="D9" s="4">
        <v>1406</v>
      </c>
      <c r="E9" s="4">
        <f t="shared" si="1"/>
        <v>383.33333333333331</v>
      </c>
      <c r="F9" s="4">
        <f t="shared" si="2"/>
        <v>71.428571428571431</v>
      </c>
      <c r="G9" s="4">
        <f t="shared" si="3"/>
        <v>0</v>
      </c>
      <c r="H9" s="9">
        <f t="shared" si="5"/>
        <v>1240.1428571428571</v>
      </c>
      <c r="I9" s="9">
        <f t="shared" si="4"/>
        <v>187.5</v>
      </c>
      <c r="J9" s="4">
        <f t="shared" si="6"/>
        <v>3713.4047619047624</v>
      </c>
      <c r="K9" s="8">
        <v>1679</v>
      </c>
      <c r="L9" s="32">
        <f t="shared" si="7"/>
        <v>2034.4047619047624</v>
      </c>
      <c r="M9" s="14"/>
    </row>
    <row r="10" spans="1:33" ht="18.5" x14ac:dyDescent="0.45">
      <c r="A10" s="29">
        <v>7</v>
      </c>
      <c r="B10" s="2" t="s">
        <v>22</v>
      </c>
      <c r="C10" s="4">
        <v>0</v>
      </c>
      <c r="D10" s="4">
        <v>752</v>
      </c>
      <c r="E10" s="4">
        <v>0</v>
      </c>
      <c r="F10" s="4">
        <v>71</v>
      </c>
      <c r="G10" s="4">
        <v>0</v>
      </c>
      <c r="H10" s="9">
        <f t="shared" si="5"/>
        <v>1240.1428571428571</v>
      </c>
      <c r="I10" s="9">
        <v>0</v>
      </c>
      <c r="J10" s="4">
        <f t="shared" si="6"/>
        <v>2063.1428571428569</v>
      </c>
      <c r="K10" s="8">
        <v>0</v>
      </c>
      <c r="L10" s="32">
        <f t="shared" si="7"/>
        <v>2063.1428571428569</v>
      </c>
      <c r="M10" s="35"/>
      <c r="Q10" s="36" t="s">
        <v>27</v>
      </c>
      <c r="R10" s="158" t="s">
        <v>28</v>
      </c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</row>
    <row r="11" spans="1:33" ht="18.5" x14ac:dyDescent="0.45">
      <c r="A11" s="29">
        <v>8</v>
      </c>
      <c r="B11" s="2" t="s">
        <v>7</v>
      </c>
      <c r="C11" s="4">
        <f>$C$2/$C$19</f>
        <v>425</v>
      </c>
      <c r="D11" s="4">
        <v>1406</v>
      </c>
      <c r="E11" s="4">
        <v>0</v>
      </c>
      <c r="F11" s="4">
        <v>0</v>
      </c>
      <c r="G11" s="4">
        <v>0</v>
      </c>
      <c r="H11" s="9">
        <v>0</v>
      </c>
      <c r="I11" s="9">
        <f>$I$2/$I$19</f>
        <v>187.5</v>
      </c>
      <c r="J11" s="4">
        <f t="shared" si="6"/>
        <v>2018.5</v>
      </c>
      <c r="K11" s="8">
        <v>0</v>
      </c>
      <c r="L11" s="32">
        <f t="shared" si="7"/>
        <v>2018.5</v>
      </c>
      <c r="M11" s="14"/>
    </row>
    <row r="12" spans="1:33" ht="18.5" x14ac:dyDescent="0.45">
      <c r="A12" s="29">
        <v>9</v>
      </c>
      <c r="B12" s="2" t="s">
        <v>14</v>
      </c>
      <c r="C12" s="4">
        <f>$C$2/$C$19</f>
        <v>425</v>
      </c>
      <c r="D12" s="4">
        <v>1406</v>
      </c>
      <c r="E12" s="4">
        <v>0</v>
      </c>
      <c r="F12" s="4">
        <v>0</v>
      </c>
      <c r="G12" s="4">
        <v>0</v>
      </c>
      <c r="H12" s="9">
        <v>0</v>
      </c>
      <c r="I12" s="9">
        <f>I11</f>
        <v>187.5</v>
      </c>
      <c r="J12" s="4">
        <f t="shared" si="6"/>
        <v>2018.5</v>
      </c>
      <c r="K12" s="8">
        <v>0</v>
      </c>
      <c r="L12" s="32">
        <f t="shared" si="7"/>
        <v>2018.5</v>
      </c>
      <c r="M12" s="14"/>
    </row>
    <row r="13" spans="1:33" ht="18.5" x14ac:dyDescent="0.45">
      <c r="A13" s="29"/>
      <c r="B13" s="2"/>
      <c r="C13" s="2"/>
      <c r="D13" s="2"/>
      <c r="E13" s="2"/>
      <c r="F13" s="2"/>
      <c r="G13" s="2"/>
      <c r="H13" s="8"/>
      <c r="I13" s="8"/>
      <c r="J13" s="2"/>
      <c r="K13" s="8"/>
      <c r="L13" s="33"/>
      <c r="M13" s="14"/>
    </row>
    <row r="14" spans="1:33" ht="18.5" x14ac:dyDescent="0.45">
      <c r="A14" s="29"/>
      <c r="B14" s="2"/>
      <c r="C14" s="2"/>
      <c r="D14" s="2"/>
      <c r="E14" s="2"/>
      <c r="F14" s="2"/>
      <c r="G14" s="2"/>
      <c r="H14" s="8"/>
      <c r="I14" s="8"/>
      <c r="J14" s="2"/>
      <c r="K14" s="8"/>
      <c r="L14" s="33"/>
    </row>
    <row r="15" spans="1:33" ht="14.5" customHeight="1" x14ac:dyDescent="0.35">
      <c r="A15" s="165">
        <f>COUNT(A4:A12)</f>
        <v>9</v>
      </c>
      <c r="B15" s="167" t="s">
        <v>12</v>
      </c>
      <c r="C15" s="169">
        <f t="shared" ref="C15:K15" si="8">SUM(C4:C12)</f>
        <v>3400</v>
      </c>
      <c r="D15" s="169">
        <f t="shared" si="8"/>
        <v>12000</v>
      </c>
      <c r="E15" s="169">
        <f t="shared" si="8"/>
        <v>2300</v>
      </c>
      <c r="F15" s="169">
        <f t="shared" si="8"/>
        <v>499.57142857142861</v>
      </c>
      <c r="G15" s="169">
        <f t="shared" si="8"/>
        <v>0</v>
      </c>
      <c r="H15" s="169">
        <f t="shared" si="8"/>
        <v>8681</v>
      </c>
      <c r="I15" s="169">
        <f t="shared" si="8"/>
        <v>1500</v>
      </c>
      <c r="J15" s="159">
        <f t="shared" si="8"/>
        <v>28380.571428571435</v>
      </c>
      <c r="K15" s="163">
        <f t="shared" si="8"/>
        <v>6479</v>
      </c>
      <c r="L15" s="161">
        <f>J15-K15</f>
        <v>21901.571428571435</v>
      </c>
    </row>
    <row r="16" spans="1:33" ht="15" thickBot="1" x14ac:dyDescent="0.4">
      <c r="A16" s="166"/>
      <c r="B16" s="168"/>
      <c r="C16" s="170"/>
      <c r="D16" s="170"/>
      <c r="E16" s="170"/>
      <c r="F16" s="170"/>
      <c r="G16" s="170"/>
      <c r="H16" s="170"/>
      <c r="I16" s="170"/>
      <c r="J16" s="160"/>
      <c r="K16" s="164"/>
      <c r="L16" s="162"/>
    </row>
    <row r="17" spans="2:12" x14ac:dyDescent="0.35">
      <c r="D17">
        <v>44</v>
      </c>
      <c r="L17" s="10"/>
    </row>
    <row r="18" spans="2:12" ht="29" x14ac:dyDescent="0.35">
      <c r="B18" s="7"/>
      <c r="C18" s="1" t="s">
        <v>2</v>
      </c>
      <c r="D18" s="1" t="s">
        <v>3</v>
      </c>
      <c r="E18" s="1" t="s">
        <v>19</v>
      </c>
      <c r="F18" s="1" t="s">
        <v>13</v>
      </c>
      <c r="G18" s="1" t="s">
        <v>4</v>
      </c>
      <c r="H18" s="13" t="s">
        <v>5</v>
      </c>
      <c r="I18" s="13" t="s">
        <v>21</v>
      </c>
      <c r="J18" s="23"/>
      <c r="K18" s="23"/>
    </row>
    <row r="19" spans="2:12" x14ac:dyDescent="0.35">
      <c r="B19" s="7"/>
      <c r="C19" s="11">
        <v>8</v>
      </c>
      <c r="D19" s="11">
        <v>8.5</v>
      </c>
      <c r="E19" s="11">
        <v>6</v>
      </c>
      <c r="F19" s="11">
        <v>7</v>
      </c>
      <c r="G19" s="11">
        <v>6</v>
      </c>
      <c r="H19" s="12">
        <v>7</v>
      </c>
      <c r="I19" s="12">
        <v>8</v>
      </c>
      <c r="J19" s="22"/>
      <c r="K19" s="31"/>
    </row>
    <row r="23" spans="2:12" x14ac:dyDescent="0.35">
      <c r="B23" s="7"/>
    </row>
    <row r="24" spans="2:12" x14ac:dyDescent="0.35">
      <c r="B24" s="7"/>
    </row>
    <row r="25" spans="2:12" x14ac:dyDescent="0.35">
      <c r="B25" s="7"/>
    </row>
  </sheetData>
  <mergeCells count="13">
    <mergeCell ref="R10:AG10"/>
    <mergeCell ref="J15:J16"/>
    <mergeCell ref="L15:L16"/>
    <mergeCell ref="K15:K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0F11-0D6B-411E-A6F9-9FE3BB89EB5A}">
  <dimension ref="A1:AB23"/>
  <sheetViews>
    <sheetView zoomScale="80" zoomScaleNormal="80" workbookViewId="0">
      <selection activeCell="I7" sqref="I7"/>
    </sheetView>
  </sheetViews>
  <sheetFormatPr defaultRowHeight="14.5" x14ac:dyDescent="0.35"/>
  <cols>
    <col min="1" max="1" width="5.453125" style="7" customWidth="1"/>
    <col min="2" max="2" width="11" bestFit="1" customWidth="1"/>
    <col min="3" max="3" width="12.36328125" bestFit="1" customWidth="1"/>
    <col min="4" max="4" width="7.36328125" bestFit="1" customWidth="1"/>
    <col min="5" max="5" width="5.453125" bestFit="1" customWidth="1"/>
    <col min="6" max="6" width="7.453125" bestFit="1" customWidth="1"/>
    <col min="7" max="7" width="7.90625" bestFit="1" customWidth="1"/>
    <col min="8" max="8" width="7.26953125" style="7" bestFit="1" customWidth="1"/>
    <col min="9" max="9" width="15.36328125" style="7" bestFit="1" customWidth="1"/>
    <col min="10" max="10" width="9.90625" bestFit="1" customWidth="1"/>
    <col min="11" max="11" width="10.08984375" style="7" bestFit="1" customWidth="1"/>
    <col min="12" max="12" width="8.81640625" customWidth="1"/>
    <col min="13" max="13" width="12.7265625" bestFit="1" customWidth="1"/>
    <col min="14" max="14" width="11.7265625" bestFit="1" customWidth="1"/>
    <col min="17" max="17" width="11.81640625" bestFit="1" customWidth="1"/>
    <col min="18" max="18" width="12.81640625" bestFit="1" customWidth="1"/>
  </cols>
  <sheetData>
    <row r="1" spans="1:28" ht="30" customHeigh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19</v>
      </c>
      <c r="F1" s="25" t="s">
        <v>13</v>
      </c>
      <c r="G1" s="25" t="s">
        <v>4</v>
      </c>
      <c r="H1" s="26" t="s">
        <v>25</v>
      </c>
      <c r="I1" s="26" t="s">
        <v>21</v>
      </c>
      <c r="J1" s="25" t="s">
        <v>23</v>
      </c>
      <c r="K1" s="26" t="s">
        <v>33</v>
      </c>
      <c r="L1" s="27" t="s">
        <v>24</v>
      </c>
    </row>
    <row r="2" spans="1:28" ht="18.5" x14ac:dyDescent="0.45">
      <c r="A2" s="28"/>
      <c r="B2" s="16"/>
      <c r="C2" s="17">
        <v>3400</v>
      </c>
      <c r="D2" s="17">
        <v>12000</v>
      </c>
      <c r="E2" s="17">
        <v>0</v>
      </c>
      <c r="F2" s="17">
        <v>120</v>
      </c>
      <c r="G2" s="17">
        <v>552</v>
      </c>
      <c r="H2" s="19">
        <v>9092</v>
      </c>
      <c r="I2" s="19">
        <v>273</v>
      </c>
      <c r="J2" s="17">
        <f>SUM(C2:I2)</f>
        <v>25437</v>
      </c>
      <c r="K2" s="19">
        <f>SUM(K4:K11)</f>
        <v>8259</v>
      </c>
      <c r="L2" s="32">
        <f>J2-K2</f>
        <v>17178</v>
      </c>
      <c r="N2" t="s">
        <v>42</v>
      </c>
      <c r="R2" s="5" t="s">
        <v>17</v>
      </c>
    </row>
    <row r="3" spans="1:28" ht="18.5" x14ac:dyDescent="0.45">
      <c r="A3" s="28"/>
      <c r="B3" s="16"/>
      <c r="C3" s="20"/>
      <c r="D3" s="20"/>
      <c r="E3" s="18"/>
      <c r="F3" s="18"/>
      <c r="G3" s="18"/>
      <c r="H3" s="21"/>
      <c r="I3" s="21"/>
      <c r="J3" s="18"/>
      <c r="K3" s="21"/>
      <c r="L3" s="32"/>
      <c r="M3" s="14"/>
      <c r="N3" s="34" t="s">
        <v>41</v>
      </c>
    </row>
    <row r="4" spans="1:28" ht="18.5" x14ac:dyDescent="0.45">
      <c r="A4" s="29">
        <v>1</v>
      </c>
      <c r="B4" s="2" t="s">
        <v>6</v>
      </c>
      <c r="C4" s="4">
        <f t="shared" ref="C4:C10" si="0">$C$2/$C$17</f>
        <v>485.71428571428572</v>
      </c>
      <c r="D4" s="4">
        <f t="shared" ref="D4:D10" si="1">$D$2/$D$17</f>
        <v>1600</v>
      </c>
      <c r="E4" s="4">
        <v>0</v>
      </c>
      <c r="F4" s="4">
        <v>0</v>
      </c>
      <c r="G4" s="4">
        <v>0</v>
      </c>
      <c r="H4" s="9">
        <v>0</v>
      </c>
      <c r="I4" s="38">
        <f>$I$2/$I$17</f>
        <v>68.25</v>
      </c>
      <c r="J4" s="4">
        <f>SUM(C4:I4)</f>
        <v>2153.9642857142858</v>
      </c>
      <c r="K4" s="8">
        <v>552</v>
      </c>
      <c r="L4" s="32">
        <f>J4-K4</f>
        <v>1601.9642857142858</v>
      </c>
      <c r="M4" s="14">
        <v>-68</v>
      </c>
      <c r="N4" s="34">
        <v>1534</v>
      </c>
      <c r="Q4" t="s">
        <v>4</v>
      </c>
      <c r="R4">
        <v>0</v>
      </c>
    </row>
    <row r="5" spans="1:28" ht="18.5" x14ac:dyDescent="0.45">
      <c r="A5" s="29">
        <v>2</v>
      </c>
      <c r="B5" s="2" t="s">
        <v>11</v>
      </c>
      <c r="C5" s="4">
        <f t="shared" si="0"/>
        <v>485.71428571428572</v>
      </c>
      <c r="D5" s="4">
        <f t="shared" si="1"/>
        <v>1600</v>
      </c>
      <c r="E5" s="4">
        <f>$E$2/$E$17</f>
        <v>0</v>
      </c>
      <c r="F5" s="4">
        <f>$F$2/$F$17</f>
        <v>24</v>
      </c>
      <c r="G5" s="4">
        <f>$G$2/$G$17</f>
        <v>138</v>
      </c>
      <c r="H5" s="9">
        <f>$H$2/$H$17</f>
        <v>1818.4</v>
      </c>
      <c r="I5" s="38">
        <f>$I$2/$I$17</f>
        <v>68.25</v>
      </c>
      <c r="J5" s="4">
        <f t="shared" ref="J5:J11" si="2">SUM(C5:I5)</f>
        <v>4134.3642857142859</v>
      </c>
      <c r="K5" s="8">
        <f>2561+120+2300</f>
        <v>4981</v>
      </c>
      <c r="L5" s="32">
        <f>J5-K5</f>
        <v>-846.63571428571413</v>
      </c>
      <c r="M5" s="14">
        <v>-68</v>
      </c>
      <c r="N5" s="34">
        <v>-846</v>
      </c>
    </row>
    <row r="6" spans="1:28" ht="18.5" x14ac:dyDescent="0.45">
      <c r="A6" s="29">
        <v>3</v>
      </c>
      <c r="B6" s="2" t="s">
        <v>9</v>
      </c>
      <c r="C6" s="4">
        <f t="shared" si="0"/>
        <v>485.71428571428572</v>
      </c>
      <c r="D6" s="4">
        <f t="shared" si="1"/>
        <v>1600</v>
      </c>
      <c r="E6" s="4">
        <f>$E$2/$E$17</f>
        <v>0</v>
      </c>
      <c r="F6" s="4">
        <f>$F$2/$F$17</f>
        <v>24</v>
      </c>
      <c r="G6" s="4">
        <f>$G$2/$G$17</f>
        <v>138</v>
      </c>
      <c r="H6" s="9">
        <f t="shared" ref="H6:H11" si="3">$H$2/$H$17</f>
        <v>1818.4</v>
      </c>
      <c r="I6" s="38">
        <f>$I$2/$I$17</f>
        <v>68.25</v>
      </c>
      <c r="J6" s="4">
        <f t="shared" si="2"/>
        <v>4134.3642857142859</v>
      </c>
      <c r="K6" s="8">
        <v>0</v>
      </c>
      <c r="L6" s="32">
        <f t="shared" ref="L6:L11" si="4">J6-K6</f>
        <v>4134.3642857142859</v>
      </c>
      <c r="M6" s="15">
        <v>-68</v>
      </c>
      <c r="N6" s="34">
        <v>4066</v>
      </c>
      <c r="Q6" t="s">
        <v>12</v>
      </c>
      <c r="R6">
        <v>0</v>
      </c>
    </row>
    <row r="7" spans="1:28" ht="18.5" x14ac:dyDescent="0.45">
      <c r="A7" s="29">
        <v>4</v>
      </c>
      <c r="B7" s="2" t="s">
        <v>20</v>
      </c>
      <c r="C7" s="4">
        <f t="shared" si="0"/>
        <v>485.71428571428572</v>
      </c>
      <c r="D7" s="4">
        <f t="shared" si="1"/>
        <v>1600</v>
      </c>
      <c r="E7" s="4">
        <f>$E$2/$E$17</f>
        <v>0</v>
      </c>
      <c r="F7" s="4">
        <f>$F$2/$F$17</f>
        <v>24</v>
      </c>
      <c r="G7" s="4">
        <f>$G$2/$G$17</f>
        <v>138</v>
      </c>
      <c r="H7" s="9">
        <f t="shared" si="3"/>
        <v>1818.4</v>
      </c>
      <c r="I7" s="38">
        <f>$I$2/$I$17</f>
        <v>68.25</v>
      </c>
      <c r="J7" s="4">
        <f>SUM(C7:I7)</f>
        <v>4134.3642857142859</v>
      </c>
      <c r="K7" s="8">
        <v>656</v>
      </c>
      <c r="L7" s="32">
        <f t="shared" si="4"/>
        <v>3478.3642857142859</v>
      </c>
      <c r="M7" s="14">
        <v>-68</v>
      </c>
      <c r="N7" s="34">
        <v>3410</v>
      </c>
      <c r="O7">
        <v>-4066</v>
      </c>
    </row>
    <row r="8" spans="1:28" ht="18.5" x14ac:dyDescent="0.45">
      <c r="A8" s="29">
        <v>5</v>
      </c>
      <c r="B8" s="2" t="s">
        <v>22</v>
      </c>
      <c r="C8" s="4">
        <f t="shared" si="0"/>
        <v>485.71428571428572</v>
      </c>
      <c r="D8" s="4">
        <f t="shared" si="1"/>
        <v>1600</v>
      </c>
      <c r="E8" s="4">
        <f>$E$2/$E$17</f>
        <v>0</v>
      </c>
      <c r="F8" s="4">
        <f>$F$2/$F$17</f>
        <v>24</v>
      </c>
      <c r="G8" s="4">
        <f>$G$2/$G$17</f>
        <v>138</v>
      </c>
      <c r="H8" s="9">
        <f t="shared" si="3"/>
        <v>1818.4</v>
      </c>
      <c r="I8" s="9">
        <v>0</v>
      </c>
      <c r="J8" s="4">
        <f>SUM(C8:I8)</f>
        <v>4066.1142857142859</v>
      </c>
      <c r="K8" s="8">
        <v>740</v>
      </c>
      <c r="L8" s="32">
        <f t="shared" si="4"/>
        <v>3326.1142857142859</v>
      </c>
      <c r="M8" s="14"/>
      <c r="N8" s="34">
        <v>3326</v>
      </c>
      <c r="O8">
        <v>-4066</v>
      </c>
      <c r="Q8" s="34" t="s">
        <v>29</v>
      </c>
      <c r="R8" s="158" t="s">
        <v>30</v>
      </c>
      <c r="S8" s="158"/>
      <c r="T8" s="158"/>
      <c r="U8" s="158"/>
      <c r="V8" s="158"/>
      <c r="W8" s="158"/>
      <c r="X8" s="158"/>
      <c r="Y8" s="158"/>
      <c r="Z8" s="158"/>
      <c r="AA8" s="158"/>
      <c r="AB8" s="158"/>
    </row>
    <row r="9" spans="1:28" ht="18.5" x14ac:dyDescent="0.45">
      <c r="A9" s="29">
        <v>6</v>
      </c>
      <c r="B9" s="2" t="s">
        <v>7</v>
      </c>
      <c r="C9" s="4">
        <f t="shared" si="0"/>
        <v>485.71428571428572</v>
      </c>
      <c r="D9" s="4">
        <f t="shared" si="1"/>
        <v>1600</v>
      </c>
      <c r="E9" s="4">
        <v>0</v>
      </c>
      <c r="F9" s="4">
        <v>0</v>
      </c>
      <c r="G9" s="4">
        <v>0</v>
      </c>
      <c r="H9" s="9">
        <v>0</v>
      </c>
      <c r="I9" s="9">
        <v>0</v>
      </c>
      <c r="J9" s="4">
        <f t="shared" si="2"/>
        <v>2085.7142857142858</v>
      </c>
      <c r="K9" s="8">
        <v>1100</v>
      </c>
      <c r="L9" s="32">
        <f t="shared" si="4"/>
        <v>985.71428571428578</v>
      </c>
      <c r="M9" s="14"/>
      <c r="N9" s="34">
        <v>986</v>
      </c>
      <c r="R9" s="158" t="s">
        <v>31</v>
      </c>
      <c r="S9" s="158"/>
      <c r="T9" s="158"/>
      <c r="U9" s="158"/>
      <c r="V9" s="158"/>
    </row>
    <row r="10" spans="1:28" ht="18.5" x14ac:dyDescent="0.45">
      <c r="A10" s="29">
        <v>7</v>
      </c>
      <c r="B10" s="2" t="s">
        <v>14</v>
      </c>
      <c r="C10" s="4">
        <f t="shared" si="0"/>
        <v>485.71428571428572</v>
      </c>
      <c r="D10" s="4">
        <f t="shared" si="1"/>
        <v>1600</v>
      </c>
      <c r="E10" s="4">
        <v>0</v>
      </c>
      <c r="F10" s="4">
        <v>0</v>
      </c>
      <c r="G10" s="4">
        <v>0</v>
      </c>
      <c r="H10" s="9">
        <v>0</v>
      </c>
      <c r="I10" s="9">
        <v>0</v>
      </c>
      <c r="J10" s="4">
        <f t="shared" si="2"/>
        <v>2085.7142857142858</v>
      </c>
      <c r="K10" s="8">
        <v>0</v>
      </c>
      <c r="L10" s="32">
        <f t="shared" si="4"/>
        <v>2085.7142857142858</v>
      </c>
      <c r="M10" s="14"/>
      <c r="N10" s="34">
        <v>2086</v>
      </c>
    </row>
    <row r="11" spans="1:28" ht="18.5" x14ac:dyDescent="0.45">
      <c r="A11" s="29">
        <v>8</v>
      </c>
      <c r="B11" s="2" t="s">
        <v>34</v>
      </c>
      <c r="C11" s="4">
        <v>0</v>
      </c>
      <c r="D11" s="4">
        <f>D10/2</f>
        <v>800</v>
      </c>
      <c r="E11" s="4">
        <v>0</v>
      </c>
      <c r="F11" s="4">
        <v>24</v>
      </c>
      <c r="G11" s="4">
        <v>0</v>
      </c>
      <c r="H11" s="9">
        <f t="shared" si="3"/>
        <v>1818.4</v>
      </c>
      <c r="I11" s="8">
        <v>0</v>
      </c>
      <c r="J11" s="4">
        <f t="shared" si="2"/>
        <v>2642.4</v>
      </c>
      <c r="K11" s="8">
        <v>230</v>
      </c>
      <c r="L11" s="32">
        <f t="shared" si="4"/>
        <v>2412.4</v>
      </c>
      <c r="M11" s="14"/>
      <c r="N11" s="34">
        <v>2643</v>
      </c>
    </row>
    <row r="12" spans="1:28" ht="18.5" x14ac:dyDescent="0.45">
      <c r="A12" s="29"/>
      <c r="B12" s="2"/>
      <c r="C12" s="2"/>
      <c r="D12" s="2"/>
      <c r="E12" s="2"/>
      <c r="F12" s="2"/>
      <c r="G12" s="2"/>
      <c r="H12" s="8"/>
      <c r="I12" s="8"/>
      <c r="J12" s="2"/>
      <c r="K12" s="8"/>
      <c r="L12" s="33"/>
      <c r="N12" s="42">
        <f>N15*N16</f>
        <v>-204</v>
      </c>
      <c r="O12" s="42" t="s">
        <v>47</v>
      </c>
      <c r="U12" s="34" t="s">
        <v>44</v>
      </c>
    </row>
    <row r="13" spans="1:28" ht="14.5" customHeight="1" x14ac:dyDescent="0.35">
      <c r="A13" s="165">
        <f>COUNT(A4:A11)</f>
        <v>8</v>
      </c>
      <c r="B13" s="167" t="s">
        <v>12</v>
      </c>
      <c r="C13" s="169">
        <f t="shared" ref="C13:J13" si="5">SUM(C4:C11)</f>
        <v>3400</v>
      </c>
      <c r="D13" s="169">
        <f t="shared" si="5"/>
        <v>12000</v>
      </c>
      <c r="E13" s="169">
        <f t="shared" si="5"/>
        <v>0</v>
      </c>
      <c r="F13" s="169">
        <f t="shared" si="5"/>
        <v>120</v>
      </c>
      <c r="G13" s="169">
        <f t="shared" si="5"/>
        <v>552</v>
      </c>
      <c r="H13" s="169">
        <f>SUM(H4:H11)</f>
        <v>9092</v>
      </c>
      <c r="I13" s="169">
        <f t="shared" si="5"/>
        <v>273</v>
      </c>
      <c r="J13" s="159">
        <f t="shared" si="5"/>
        <v>25437.000000000004</v>
      </c>
      <c r="K13" s="163">
        <f>SUM(K4:K11)</f>
        <v>8259</v>
      </c>
      <c r="L13" s="161">
        <f>J13-K13</f>
        <v>17178.000000000004</v>
      </c>
      <c r="N13" s="42"/>
      <c r="O13" s="42"/>
      <c r="P13" s="34" t="s">
        <v>6</v>
      </c>
      <c r="Q13" s="34" t="s">
        <v>36</v>
      </c>
      <c r="R13" s="34">
        <v>552</v>
      </c>
      <c r="U13" s="34">
        <v>13846</v>
      </c>
    </row>
    <row r="14" spans="1:28" ht="15" customHeight="1" thickBot="1" x14ac:dyDescent="0.4">
      <c r="A14" s="166"/>
      <c r="B14" s="168"/>
      <c r="C14" s="170"/>
      <c r="D14" s="170"/>
      <c r="E14" s="170"/>
      <c r="F14" s="170"/>
      <c r="G14" s="170"/>
      <c r="H14" s="170"/>
      <c r="I14" s="170"/>
      <c r="J14" s="160"/>
      <c r="K14" s="164"/>
      <c r="L14" s="162"/>
      <c r="N14" s="42"/>
      <c r="O14" s="42"/>
      <c r="P14" s="34" t="s">
        <v>7</v>
      </c>
      <c r="Q14" s="34" t="s">
        <v>37</v>
      </c>
      <c r="R14" s="34">
        <v>1100</v>
      </c>
      <c r="U14" s="34">
        <v>-13981</v>
      </c>
    </row>
    <row r="15" spans="1:28" x14ac:dyDescent="0.35">
      <c r="L15" s="10">
        <v>-204</v>
      </c>
      <c r="M15" s="34">
        <v>17406</v>
      </c>
      <c r="N15" s="42">
        <v>-68</v>
      </c>
      <c r="O15" s="42"/>
    </row>
    <row r="16" spans="1:28" ht="29" x14ac:dyDescent="0.35">
      <c r="B16" s="7"/>
      <c r="C16" s="1" t="s">
        <v>2</v>
      </c>
      <c r="D16" s="1" t="s">
        <v>3</v>
      </c>
      <c r="E16" s="1" t="s">
        <v>19</v>
      </c>
      <c r="F16" s="1" t="s">
        <v>13</v>
      </c>
      <c r="G16" s="1" t="s">
        <v>4</v>
      </c>
      <c r="H16" s="13" t="s">
        <v>5</v>
      </c>
      <c r="I16" s="13" t="s">
        <v>21</v>
      </c>
      <c r="J16" s="23"/>
      <c r="K16" s="23"/>
      <c r="M16" s="34">
        <v>-3400</v>
      </c>
      <c r="N16" s="42">
        <v>3</v>
      </c>
      <c r="O16" s="42"/>
    </row>
    <row r="17" spans="2:20" x14ac:dyDescent="0.35">
      <c r="B17" s="7"/>
      <c r="C17" s="11">
        <v>7</v>
      </c>
      <c r="D17" s="11">
        <v>7.5</v>
      </c>
      <c r="E17" s="11">
        <v>4</v>
      </c>
      <c r="F17" s="11">
        <v>5</v>
      </c>
      <c r="G17" s="11">
        <v>4</v>
      </c>
      <c r="H17" s="12">
        <v>5</v>
      </c>
      <c r="I17" s="12">
        <v>4</v>
      </c>
      <c r="J17" s="22"/>
      <c r="K17" s="31"/>
      <c r="M17" s="34">
        <v>-1437</v>
      </c>
      <c r="O17" s="41" t="s">
        <v>43</v>
      </c>
      <c r="P17" s="34" t="s">
        <v>9</v>
      </c>
      <c r="Q17" s="34" t="s">
        <v>50</v>
      </c>
      <c r="R17" s="34" t="s">
        <v>38</v>
      </c>
      <c r="S17" s="34" t="s">
        <v>20</v>
      </c>
      <c r="T17" s="34" t="s">
        <v>22</v>
      </c>
    </row>
    <row r="18" spans="2:20" x14ac:dyDescent="0.35">
      <c r="M18" s="34">
        <f>-68*4</f>
        <v>-272</v>
      </c>
      <c r="O18" s="34">
        <v>486</v>
      </c>
      <c r="P18" s="34">
        <v>2316</v>
      </c>
      <c r="Q18" s="34">
        <v>2561</v>
      </c>
      <c r="R18" s="34">
        <v>230</v>
      </c>
      <c r="T18" s="34">
        <v>740</v>
      </c>
    </row>
    <row r="19" spans="2:20" ht="43.5" x14ac:dyDescent="0.35">
      <c r="C19" s="34" t="s">
        <v>48</v>
      </c>
      <c r="D19" s="34"/>
      <c r="E19" s="34">
        <v>915</v>
      </c>
      <c r="I19" s="36" t="s">
        <v>39</v>
      </c>
      <c r="J19" s="34" t="s">
        <v>45</v>
      </c>
      <c r="K19" s="36" t="s">
        <v>40</v>
      </c>
      <c r="O19" s="34">
        <v>1600</v>
      </c>
      <c r="P19" s="34">
        <v>1818</v>
      </c>
      <c r="Q19" s="34">
        <v>120</v>
      </c>
    </row>
    <row r="20" spans="2:20" x14ac:dyDescent="0.35">
      <c r="C20" s="34"/>
      <c r="D20" s="34"/>
      <c r="E20" s="34">
        <v>-188</v>
      </c>
      <c r="I20" s="36" t="s">
        <v>46</v>
      </c>
      <c r="J20" s="34">
        <f>1265</f>
        <v>1265</v>
      </c>
      <c r="K20" s="36"/>
      <c r="O20" s="34">
        <v>-552</v>
      </c>
      <c r="P20" s="34">
        <v>-68</v>
      </c>
      <c r="Q20" s="34">
        <v>2300</v>
      </c>
    </row>
    <row r="21" spans="2:20" x14ac:dyDescent="0.35">
      <c r="B21" s="7"/>
      <c r="C21" s="34" t="s">
        <v>49</v>
      </c>
      <c r="D21" s="34"/>
      <c r="E21" s="34">
        <v>727</v>
      </c>
      <c r="O21" s="34">
        <v>68</v>
      </c>
      <c r="P21" s="34"/>
      <c r="Q21" s="34">
        <v>-68</v>
      </c>
    </row>
    <row r="22" spans="2:20" x14ac:dyDescent="0.35">
      <c r="B22" s="7"/>
      <c r="O22" s="34">
        <v>-68</v>
      </c>
      <c r="P22" s="34"/>
      <c r="Q22" s="34"/>
    </row>
    <row r="23" spans="2:20" x14ac:dyDescent="0.35">
      <c r="B23" s="7"/>
    </row>
  </sheetData>
  <mergeCells count="14">
    <mergeCell ref="R8:AB8"/>
    <mergeCell ref="R9:V9"/>
    <mergeCell ref="L13:L1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CC07-9D50-498B-B7B8-20B3C3A5DE4C}">
  <dimension ref="A1:V24"/>
  <sheetViews>
    <sheetView zoomScale="80" zoomScaleNormal="80" workbookViewId="0">
      <selection activeCell="H2" sqref="H2"/>
    </sheetView>
  </sheetViews>
  <sheetFormatPr defaultRowHeight="14.5" x14ac:dyDescent="0.35"/>
  <cols>
    <col min="1" max="1" width="5.453125" style="7" customWidth="1"/>
    <col min="2" max="2" width="11" bestFit="1" customWidth="1"/>
    <col min="3" max="3" width="12.36328125" bestFit="1" customWidth="1"/>
    <col min="4" max="4" width="7.36328125" bestFit="1" customWidth="1"/>
    <col min="5" max="5" width="6.08984375" bestFit="1" customWidth="1"/>
    <col min="6" max="6" width="7.453125" bestFit="1" customWidth="1"/>
    <col min="7" max="7" width="7.90625" bestFit="1" customWidth="1"/>
    <col min="8" max="8" width="7.26953125" style="7" bestFit="1" customWidth="1"/>
    <col min="9" max="9" width="15.36328125" style="7" bestFit="1" customWidth="1"/>
    <col min="10" max="10" width="9.90625" bestFit="1" customWidth="1"/>
    <col min="11" max="11" width="10.08984375" style="7" bestFit="1" customWidth="1"/>
    <col min="12" max="12" width="8.81640625" customWidth="1"/>
    <col min="13" max="13" width="12.7265625" bestFit="1" customWidth="1"/>
    <col min="17" max="17" width="11.81640625" bestFit="1" customWidth="1"/>
    <col min="18" max="18" width="12.81640625" bestFit="1" customWidth="1"/>
  </cols>
  <sheetData>
    <row r="1" spans="1:22" ht="30" customHeigh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19</v>
      </c>
      <c r="F1" s="25" t="s">
        <v>13</v>
      </c>
      <c r="G1" s="25" t="s">
        <v>4</v>
      </c>
      <c r="H1" s="26" t="s">
        <v>25</v>
      </c>
      <c r="I1" s="26" t="s">
        <v>21</v>
      </c>
      <c r="J1" s="25" t="s">
        <v>23</v>
      </c>
      <c r="K1" s="26" t="s">
        <v>33</v>
      </c>
      <c r="L1" s="27" t="s">
        <v>24</v>
      </c>
    </row>
    <row r="2" spans="1:22" ht="18.5" x14ac:dyDescent="0.45">
      <c r="A2" s="28"/>
      <c r="B2" s="16"/>
      <c r="C2" s="17">
        <v>3400</v>
      </c>
      <c r="D2" s="17">
        <v>12000</v>
      </c>
      <c r="E2" s="17">
        <v>2300</v>
      </c>
      <c r="F2" s="17">
        <v>500</v>
      </c>
      <c r="G2" s="17">
        <v>1000</v>
      </c>
      <c r="H2" s="19">
        <f>6179+2506</f>
        <v>8685</v>
      </c>
      <c r="I2" s="19">
        <v>0</v>
      </c>
      <c r="J2" s="17">
        <f>SUM(C2:I2)</f>
        <v>27885</v>
      </c>
      <c r="K2" s="43">
        <f>K14</f>
        <v>6179</v>
      </c>
      <c r="L2" s="32">
        <f>J2-K2</f>
        <v>21706</v>
      </c>
      <c r="R2" s="5" t="s">
        <v>17</v>
      </c>
    </row>
    <row r="3" spans="1:22" ht="18.5" x14ac:dyDescent="0.45">
      <c r="A3" s="28"/>
      <c r="B3" s="16"/>
      <c r="C3" s="20"/>
      <c r="D3" s="20"/>
      <c r="E3" s="18"/>
      <c r="F3" s="18"/>
      <c r="G3" s="18"/>
      <c r="H3" s="21"/>
      <c r="I3" s="21"/>
      <c r="J3" s="18"/>
      <c r="K3" s="21"/>
      <c r="L3" s="32"/>
      <c r="M3" s="14"/>
    </row>
    <row r="4" spans="1:22" ht="18.5" x14ac:dyDescent="0.45">
      <c r="A4" s="29">
        <v>1</v>
      </c>
      <c r="B4" s="2" t="s">
        <v>6</v>
      </c>
      <c r="C4" s="4">
        <f t="shared" ref="C4:C11" si="0">$C$2/$C$18</f>
        <v>425</v>
      </c>
      <c r="D4" s="4">
        <f t="shared" ref="D4:D11" si="1">$D$2/$D$18</f>
        <v>1440.5762304921968</v>
      </c>
      <c r="E4" s="4">
        <f>$E$2/$E$18</f>
        <v>363.34913112164298</v>
      </c>
      <c r="F4" s="4">
        <f>$F$2/$F$18</f>
        <v>78.988941548183249</v>
      </c>
      <c r="G4" s="4">
        <f>$G$2/$G$18</f>
        <v>157.9778830963665</v>
      </c>
      <c r="H4" s="9">
        <f>$H$2/$H$18</f>
        <v>1372.0379146919431</v>
      </c>
      <c r="I4" s="9">
        <v>0</v>
      </c>
      <c r="J4" s="4">
        <f t="shared" ref="J4:J12" si="2">SUM(C4:I4)</f>
        <v>3837.9301009503329</v>
      </c>
      <c r="K4" s="8">
        <v>2112</v>
      </c>
      <c r="L4" s="32">
        <f t="shared" ref="L4:L12" si="3">J4-K4</f>
        <v>1725.9301009503329</v>
      </c>
      <c r="M4" s="14"/>
      <c r="Q4" t="s">
        <v>4</v>
      </c>
      <c r="R4">
        <v>0</v>
      </c>
    </row>
    <row r="5" spans="1:22" ht="18.5" x14ac:dyDescent="0.45">
      <c r="A5" s="29">
        <v>2</v>
      </c>
      <c r="B5" s="2" t="s">
        <v>11</v>
      </c>
      <c r="C5" s="4">
        <f t="shared" si="0"/>
        <v>425</v>
      </c>
      <c r="D5" s="4">
        <f t="shared" si="1"/>
        <v>1440.5762304921968</v>
      </c>
      <c r="E5" s="4">
        <f>$E$2/$E$18</f>
        <v>363.34913112164298</v>
      </c>
      <c r="F5" s="4">
        <f t="shared" ref="F5:F11" si="4">$F$2/$F$18</f>
        <v>78.988941548183249</v>
      </c>
      <c r="G5" s="4">
        <f t="shared" ref="G5:G11" si="5">$G$2/$G$18</f>
        <v>157.9778830963665</v>
      </c>
      <c r="H5" s="9">
        <f t="shared" ref="H5:H11" si="6">$H$2/$H$18</f>
        <v>1372.0379146919431</v>
      </c>
      <c r="I5" s="9">
        <v>0</v>
      </c>
      <c r="J5" s="4">
        <f t="shared" si="2"/>
        <v>3837.9301009503329</v>
      </c>
      <c r="K5" s="8">
        <v>679</v>
      </c>
      <c r="L5" s="32">
        <f t="shared" si="3"/>
        <v>3158.9301009503329</v>
      </c>
      <c r="M5" s="14"/>
    </row>
    <row r="6" spans="1:22" ht="18.5" x14ac:dyDescent="0.45">
      <c r="A6" s="29">
        <v>3</v>
      </c>
      <c r="B6" s="2" t="s">
        <v>38</v>
      </c>
      <c r="C6" s="4">
        <f t="shared" si="0"/>
        <v>425</v>
      </c>
      <c r="D6" s="4">
        <f t="shared" si="1"/>
        <v>1440.5762304921968</v>
      </c>
      <c r="E6" s="4">
        <f>$E$2/$E$18</f>
        <v>363.34913112164298</v>
      </c>
      <c r="F6" s="4">
        <f t="shared" si="4"/>
        <v>78.988941548183249</v>
      </c>
      <c r="G6" s="4">
        <f t="shared" si="5"/>
        <v>157.9778830963665</v>
      </c>
      <c r="H6" s="9">
        <f t="shared" si="6"/>
        <v>1372.0379146919431</v>
      </c>
      <c r="I6" s="9">
        <v>0</v>
      </c>
      <c r="J6" s="4">
        <f t="shared" si="2"/>
        <v>3837.9301009503329</v>
      </c>
      <c r="K6" s="8">
        <v>2824</v>
      </c>
      <c r="L6" s="32">
        <f t="shared" si="3"/>
        <v>1013.9301009503329</v>
      </c>
      <c r="M6" s="39"/>
      <c r="N6" s="37"/>
      <c r="R6" s="40"/>
      <c r="S6" s="40"/>
      <c r="T6" s="40"/>
      <c r="U6" s="40"/>
      <c r="V6" s="40"/>
    </row>
    <row r="7" spans="1:22" ht="18.5" x14ac:dyDescent="0.45">
      <c r="A7" s="29">
        <v>4</v>
      </c>
      <c r="B7" s="2" t="s">
        <v>14</v>
      </c>
      <c r="C7" s="4">
        <f t="shared" si="0"/>
        <v>425</v>
      </c>
      <c r="D7" s="4">
        <f t="shared" si="1"/>
        <v>1440.5762304921968</v>
      </c>
      <c r="E7" s="4">
        <v>0</v>
      </c>
      <c r="F7" s="4">
        <v>0</v>
      </c>
      <c r="G7" s="4">
        <v>0</v>
      </c>
      <c r="H7" s="9">
        <v>0</v>
      </c>
      <c r="I7" s="9">
        <v>0</v>
      </c>
      <c r="J7" s="4">
        <f t="shared" si="2"/>
        <v>1865.5762304921968</v>
      </c>
      <c r="K7" s="8">
        <v>0</v>
      </c>
      <c r="L7" s="32">
        <f t="shared" si="3"/>
        <v>1865.5762304921968</v>
      </c>
      <c r="M7" s="14"/>
    </row>
    <row r="8" spans="1:22" ht="18.5" x14ac:dyDescent="0.45">
      <c r="A8" s="29">
        <v>5</v>
      </c>
      <c r="B8" s="2" t="s">
        <v>7</v>
      </c>
      <c r="C8" s="4">
        <f t="shared" si="0"/>
        <v>425</v>
      </c>
      <c r="D8" s="4">
        <f t="shared" si="1"/>
        <v>1440.5762304921968</v>
      </c>
      <c r="E8" s="4">
        <v>0</v>
      </c>
      <c r="F8" s="4">
        <v>0</v>
      </c>
      <c r="G8" s="4">
        <v>0</v>
      </c>
      <c r="H8" s="9">
        <v>0</v>
      </c>
      <c r="I8" s="8">
        <v>0</v>
      </c>
      <c r="J8" s="4">
        <f t="shared" si="2"/>
        <v>1865.5762304921968</v>
      </c>
      <c r="K8" s="8">
        <v>0</v>
      </c>
      <c r="L8" s="32">
        <f t="shared" si="3"/>
        <v>1865.5762304921968</v>
      </c>
      <c r="M8" s="10"/>
    </row>
    <row r="9" spans="1:22" ht="18.5" x14ac:dyDescent="0.45">
      <c r="A9" s="29">
        <v>6</v>
      </c>
      <c r="B9" s="2" t="s">
        <v>22</v>
      </c>
      <c r="C9" s="4">
        <f t="shared" si="0"/>
        <v>425</v>
      </c>
      <c r="D9" s="4">
        <f t="shared" si="1"/>
        <v>1440.5762304921968</v>
      </c>
      <c r="E9" s="4">
        <f>$E$2/$E$18</f>
        <v>363.34913112164298</v>
      </c>
      <c r="F9" s="4">
        <f t="shared" si="4"/>
        <v>78.988941548183249</v>
      </c>
      <c r="G9" s="4">
        <f t="shared" si="5"/>
        <v>157.9778830963665</v>
      </c>
      <c r="H9" s="9">
        <f t="shared" si="6"/>
        <v>1372.0379146919431</v>
      </c>
      <c r="I9" s="8">
        <v>0</v>
      </c>
      <c r="J9" s="4">
        <f t="shared" si="2"/>
        <v>3837.9301009503329</v>
      </c>
      <c r="K9" s="8">
        <v>564</v>
      </c>
      <c r="L9" s="32">
        <f t="shared" si="3"/>
        <v>3273.9301009503329</v>
      </c>
      <c r="M9" s="10"/>
    </row>
    <row r="10" spans="1:22" ht="18.5" x14ac:dyDescent="0.45">
      <c r="A10" s="29">
        <v>7</v>
      </c>
      <c r="B10" s="2" t="s">
        <v>51</v>
      </c>
      <c r="C10" s="4">
        <f t="shared" si="0"/>
        <v>425</v>
      </c>
      <c r="D10" s="4">
        <f t="shared" si="1"/>
        <v>1440.5762304921968</v>
      </c>
      <c r="E10" s="4">
        <f>$E$2/$E$18</f>
        <v>363.34913112164298</v>
      </c>
      <c r="F10" s="4">
        <f t="shared" si="4"/>
        <v>78.988941548183249</v>
      </c>
      <c r="G10" s="4">
        <f t="shared" si="5"/>
        <v>157.9778830963665</v>
      </c>
      <c r="H10" s="9">
        <f t="shared" si="6"/>
        <v>1372.0379146919431</v>
      </c>
      <c r="I10" s="8">
        <v>0</v>
      </c>
      <c r="J10" s="4">
        <f t="shared" si="2"/>
        <v>3837.9301009503329</v>
      </c>
      <c r="K10" s="8">
        <v>0</v>
      </c>
      <c r="L10" s="32">
        <f t="shared" si="3"/>
        <v>3837.9301009503329</v>
      </c>
      <c r="M10" s="10"/>
    </row>
    <row r="11" spans="1:22" ht="18.5" x14ac:dyDescent="0.45">
      <c r="A11" s="29">
        <v>8</v>
      </c>
      <c r="B11" s="2" t="s">
        <v>20</v>
      </c>
      <c r="C11" s="4">
        <f t="shared" si="0"/>
        <v>425</v>
      </c>
      <c r="D11" s="4">
        <f t="shared" si="1"/>
        <v>1440.5762304921968</v>
      </c>
      <c r="E11" s="4">
        <f>$E$2/$E$18</f>
        <v>363.34913112164298</v>
      </c>
      <c r="F11" s="4">
        <f t="shared" si="4"/>
        <v>78.988941548183249</v>
      </c>
      <c r="G11" s="4">
        <f t="shared" si="5"/>
        <v>157.9778830963665</v>
      </c>
      <c r="H11" s="9">
        <f t="shared" si="6"/>
        <v>1372.0379146919431</v>
      </c>
      <c r="I11" s="8">
        <v>0</v>
      </c>
      <c r="J11" s="4">
        <f t="shared" si="2"/>
        <v>3837.9301009503329</v>
      </c>
      <c r="K11" s="8">
        <v>0</v>
      </c>
      <c r="L11" s="32">
        <f t="shared" si="3"/>
        <v>3837.9301009503329</v>
      </c>
      <c r="M11" s="10"/>
    </row>
    <row r="12" spans="1:22" ht="18.5" x14ac:dyDescent="0.45">
      <c r="A12" s="29">
        <v>9</v>
      </c>
      <c r="B12" s="2" t="s">
        <v>8</v>
      </c>
      <c r="C12" s="4">
        <v>0</v>
      </c>
      <c r="D12" s="4">
        <f>D11/3</f>
        <v>480.19207683073228</v>
      </c>
      <c r="E12" s="4">
        <f>E11/3</f>
        <v>121.11637704054766</v>
      </c>
      <c r="F12" s="4">
        <f>F11/3</f>
        <v>26.329647182727751</v>
      </c>
      <c r="G12" s="4">
        <f>G11/3</f>
        <v>52.659294365455501</v>
      </c>
      <c r="H12" s="9">
        <f>H11/3</f>
        <v>457.34597156398104</v>
      </c>
      <c r="I12" s="8">
        <v>0</v>
      </c>
      <c r="J12" s="4">
        <f t="shared" si="2"/>
        <v>1137.6433669834441</v>
      </c>
      <c r="K12" s="8">
        <v>0</v>
      </c>
      <c r="L12" s="32">
        <f t="shared" si="3"/>
        <v>1137.6433669834441</v>
      </c>
      <c r="M12" s="10"/>
    </row>
    <row r="13" spans="1:22" ht="18.5" x14ac:dyDescent="0.45">
      <c r="A13" s="29"/>
      <c r="B13" s="2"/>
      <c r="C13" s="4"/>
      <c r="D13" s="4"/>
      <c r="E13" s="4"/>
      <c r="F13" s="4"/>
      <c r="G13" s="4"/>
      <c r="H13" s="9"/>
      <c r="I13" s="8"/>
      <c r="J13" s="4"/>
      <c r="K13" s="8"/>
      <c r="L13" s="32"/>
      <c r="M13" s="10"/>
    </row>
    <row r="14" spans="1:22" ht="14.5" customHeight="1" x14ac:dyDescent="0.35">
      <c r="A14" s="165">
        <f>COUNT(A4:A12)</f>
        <v>9</v>
      </c>
      <c r="B14" s="167" t="s">
        <v>12</v>
      </c>
      <c r="C14" s="169">
        <f t="shared" ref="C14:L14" si="7">SUM(C4:C13)</f>
        <v>3400</v>
      </c>
      <c r="D14" s="169">
        <f t="shared" si="7"/>
        <v>12004.801920768308</v>
      </c>
      <c r="E14" s="169">
        <f t="shared" si="7"/>
        <v>2301.2111637704056</v>
      </c>
      <c r="F14" s="169">
        <f t="shared" si="7"/>
        <v>500.26329647182718</v>
      </c>
      <c r="G14" s="169">
        <f t="shared" si="7"/>
        <v>1000.5265929436544</v>
      </c>
      <c r="H14" s="169">
        <f t="shared" si="7"/>
        <v>8689.5734597156406</v>
      </c>
      <c r="I14" s="169">
        <f t="shared" si="7"/>
        <v>0</v>
      </c>
      <c r="J14" s="169">
        <f t="shared" si="7"/>
        <v>27896.376433669837</v>
      </c>
      <c r="K14" s="169">
        <f t="shared" si="7"/>
        <v>6179</v>
      </c>
      <c r="L14" s="169">
        <f t="shared" si="7"/>
        <v>21717.376433669837</v>
      </c>
    </row>
    <row r="15" spans="1:22" ht="15" customHeight="1" thickBot="1" x14ac:dyDescent="0.4">
      <c r="A15" s="166"/>
      <c r="B15" s="168"/>
      <c r="C15" s="170"/>
      <c r="D15" s="170"/>
      <c r="E15" s="170"/>
      <c r="F15" s="170"/>
      <c r="G15" s="170"/>
      <c r="H15" s="170"/>
      <c r="I15" s="170"/>
      <c r="J15" s="170"/>
      <c r="K15" s="170"/>
      <c r="L15" s="170"/>
    </row>
    <row r="16" spans="1:22" x14ac:dyDescent="0.35">
      <c r="L16" s="10"/>
    </row>
    <row r="17" spans="2:15" ht="29" x14ac:dyDescent="0.35">
      <c r="B17" s="7"/>
      <c r="C17" s="1" t="s">
        <v>2</v>
      </c>
      <c r="D17" s="1" t="s">
        <v>3</v>
      </c>
      <c r="E17" s="1" t="s">
        <v>19</v>
      </c>
      <c r="F17" s="1" t="s">
        <v>13</v>
      </c>
      <c r="G17" s="1" t="s">
        <v>4</v>
      </c>
      <c r="H17" s="13" t="s">
        <v>5</v>
      </c>
      <c r="I17" s="13" t="s">
        <v>21</v>
      </c>
      <c r="J17" s="23"/>
      <c r="K17" s="23"/>
    </row>
    <row r="18" spans="2:15" x14ac:dyDescent="0.35">
      <c r="B18" s="7"/>
      <c r="C18" s="11">
        <v>8</v>
      </c>
      <c r="D18" s="11">
        <v>8.33</v>
      </c>
      <c r="E18" s="11">
        <v>6.33</v>
      </c>
      <c r="F18" s="11">
        <v>6.33</v>
      </c>
      <c r="G18" s="11">
        <v>6.33</v>
      </c>
      <c r="H18" s="12">
        <v>6.33</v>
      </c>
      <c r="I18" s="12">
        <v>6.33</v>
      </c>
      <c r="J18" s="22"/>
      <c r="K18" s="31"/>
      <c r="O18" s="37"/>
    </row>
    <row r="22" spans="2:15" x14ac:dyDescent="0.35">
      <c r="B22" s="7"/>
    </row>
    <row r="23" spans="2:15" x14ac:dyDescent="0.35">
      <c r="B23" s="7"/>
    </row>
    <row r="24" spans="2:15" x14ac:dyDescent="0.35">
      <c r="B24" s="7"/>
    </row>
  </sheetData>
  <mergeCells count="12">
    <mergeCell ref="I14:I15"/>
    <mergeCell ref="J14:J15"/>
    <mergeCell ref="K14:K15"/>
    <mergeCell ref="L14:L15"/>
    <mergeCell ref="F14:F15"/>
    <mergeCell ref="G14:G15"/>
    <mergeCell ref="H14:H15"/>
    <mergeCell ref="A14:A15"/>
    <mergeCell ref="B14:B15"/>
    <mergeCell ref="C14:C15"/>
    <mergeCell ref="D14:D15"/>
    <mergeCell ref="E14:E1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3FF5-8874-4CB1-8BE5-838EF1321649}">
  <dimension ref="A1:V24"/>
  <sheetViews>
    <sheetView zoomScale="70" zoomScaleNormal="70" workbookViewId="0">
      <selection activeCell="H2" sqref="H2:H3"/>
    </sheetView>
  </sheetViews>
  <sheetFormatPr defaultRowHeight="14.5" x14ac:dyDescent="0.35"/>
  <cols>
    <col min="1" max="1" width="5.453125" style="7" customWidth="1"/>
    <col min="2" max="2" width="11" bestFit="1" customWidth="1"/>
    <col min="3" max="3" width="12.453125" bestFit="1" customWidth="1"/>
    <col min="4" max="4" width="9.26953125" customWidth="1"/>
    <col min="5" max="5" width="6.1796875" customWidth="1"/>
    <col min="6" max="6" width="7.54296875" customWidth="1"/>
    <col min="7" max="7" width="8" customWidth="1"/>
    <col min="8" max="8" width="7.36328125" style="7" customWidth="1"/>
    <col min="9" max="9" width="15.453125" style="7" customWidth="1"/>
    <col min="10" max="10" width="10" bestFit="1" customWidth="1"/>
    <col min="11" max="11" width="10.1796875" style="7" bestFit="1" customWidth="1"/>
    <col min="12" max="12" width="8.81640625" bestFit="1" customWidth="1"/>
    <col min="13" max="13" width="12.7265625" bestFit="1" customWidth="1"/>
    <col min="16" max="16" width="12.81640625" bestFit="1" customWidth="1"/>
    <col min="17" max="17" width="11.81640625" bestFit="1" customWidth="1"/>
    <col min="18" max="18" width="27.08984375" style="7" customWidth="1"/>
    <col min="19" max="19" width="9.453125" bestFit="1" customWidth="1"/>
    <col min="20" max="20" width="13.81640625" bestFit="1" customWidth="1"/>
    <col min="24" max="24" width="6.453125" bestFit="1" customWidth="1"/>
  </cols>
  <sheetData>
    <row r="1" spans="1:22" ht="30" customHeigh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19</v>
      </c>
      <c r="F1" s="25" t="s">
        <v>13</v>
      </c>
      <c r="G1" s="25" t="s">
        <v>4</v>
      </c>
      <c r="H1" s="26" t="s">
        <v>25</v>
      </c>
      <c r="I1" s="26" t="s">
        <v>21</v>
      </c>
      <c r="J1" s="25" t="s">
        <v>23</v>
      </c>
      <c r="K1" s="26" t="s">
        <v>33</v>
      </c>
      <c r="L1" s="27" t="s">
        <v>24</v>
      </c>
    </row>
    <row r="2" spans="1:22" s="48" customFormat="1" ht="18.5" customHeight="1" x14ac:dyDescent="0.35">
      <c r="A2" s="175"/>
      <c r="B2" s="177"/>
      <c r="C2" s="179">
        <v>3400</v>
      </c>
      <c r="D2" s="179">
        <v>12000</v>
      </c>
      <c r="E2" s="179">
        <v>2300</v>
      </c>
      <c r="F2" s="179">
        <v>500</v>
      </c>
      <c r="G2" s="179">
        <v>1500</v>
      </c>
      <c r="H2" s="173">
        <f>V11</f>
        <v>11962</v>
      </c>
      <c r="I2" s="173">
        <v>0</v>
      </c>
      <c r="J2" s="179">
        <f>SUM(C2:I2)</f>
        <v>31662</v>
      </c>
      <c r="K2" s="173">
        <f>SUM(K4:K12)</f>
        <v>7202</v>
      </c>
      <c r="L2" s="171"/>
      <c r="P2" s="49" t="s">
        <v>17</v>
      </c>
      <c r="R2" s="50"/>
    </row>
    <row r="3" spans="1:22" s="48" customFormat="1" ht="15.5" customHeight="1" x14ac:dyDescent="0.35">
      <c r="A3" s="176"/>
      <c r="B3" s="178"/>
      <c r="C3" s="180"/>
      <c r="D3" s="180"/>
      <c r="E3" s="180"/>
      <c r="F3" s="180"/>
      <c r="G3" s="180"/>
      <c r="H3" s="174"/>
      <c r="I3" s="174"/>
      <c r="J3" s="180"/>
      <c r="K3" s="174"/>
      <c r="L3" s="172"/>
      <c r="M3" s="51"/>
      <c r="R3" s="50"/>
    </row>
    <row r="4" spans="1:22" ht="18.5" x14ac:dyDescent="0.45">
      <c r="A4" s="29">
        <v>1</v>
      </c>
      <c r="B4" s="2" t="s">
        <v>6</v>
      </c>
      <c r="C4" s="4">
        <f>$C$2/$C$18</f>
        <v>425</v>
      </c>
      <c r="D4" s="4">
        <f>$D$2/$D$18</f>
        <v>1500</v>
      </c>
      <c r="E4" s="4">
        <f>$E$2/$E$18</f>
        <v>383.33333333333331</v>
      </c>
      <c r="F4" s="4">
        <f>$F$2/$F$18</f>
        <v>83.333333333333329</v>
      </c>
      <c r="G4" s="4">
        <f>$G$2/$G$18</f>
        <v>250</v>
      </c>
      <c r="H4" s="9">
        <f>$H$2/$H$18</f>
        <v>1993.6666666666667</v>
      </c>
      <c r="I4" s="9">
        <v>0</v>
      </c>
      <c r="J4" s="4">
        <f>SUM(C4:I4)</f>
        <v>4635.3333333333339</v>
      </c>
      <c r="K4">
        <v>6303</v>
      </c>
      <c r="L4" s="32">
        <f>J4-K4</f>
        <v>-1667.6666666666661</v>
      </c>
      <c r="M4" s="14"/>
    </row>
    <row r="5" spans="1:22" ht="18.5" x14ac:dyDescent="0.45">
      <c r="A5" s="29">
        <v>2</v>
      </c>
      <c r="B5" s="2" t="s">
        <v>11</v>
      </c>
      <c r="C5" s="4">
        <f>$C$2/$C$18</f>
        <v>425</v>
      </c>
      <c r="D5" s="4">
        <f t="shared" ref="D5:D12" si="0">$D$2/$D$18</f>
        <v>1500</v>
      </c>
      <c r="E5" s="4">
        <f>$E$2/$E$18</f>
        <v>383.33333333333331</v>
      </c>
      <c r="F5" s="4">
        <f>$F$2/$F$18</f>
        <v>83.333333333333329</v>
      </c>
      <c r="G5" s="4">
        <f>$G$2/$G$18</f>
        <v>250</v>
      </c>
      <c r="H5" s="9">
        <f>$H$2/$H$18</f>
        <v>1993.6666666666667</v>
      </c>
      <c r="I5" s="9">
        <v>0</v>
      </c>
      <c r="J5" s="4">
        <f t="shared" ref="J5:J12" si="1">SUM(C5:I5)</f>
        <v>4635.3333333333339</v>
      </c>
      <c r="K5" s="8">
        <v>774</v>
      </c>
      <c r="L5" s="32">
        <f>J5-K5</f>
        <v>3861.3333333333339</v>
      </c>
      <c r="M5" s="14"/>
    </row>
    <row r="6" spans="1:22" ht="18.5" x14ac:dyDescent="0.45">
      <c r="A6" s="29">
        <v>3</v>
      </c>
      <c r="B6" s="2" t="s">
        <v>38</v>
      </c>
      <c r="C6" s="4">
        <f>$C$2/$C$18</f>
        <v>425</v>
      </c>
      <c r="D6" s="4">
        <f t="shared" si="0"/>
        <v>1500</v>
      </c>
      <c r="E6" s="4">
        <f>$E$2/$E$18</f>
        <v>383.33333333333331</v>
      </c>
      <c r="F6" s="4">
        <f>$F$2/$F$18</f>
        <v>83.333333333333329</v>
      </c>
      <c r="G6" s="4">
        <f>$G$2/$G$18</f>
        <v>250</v>
      </c>
      <c r="H6" s="9">
        <f>$H$2/$H$18</f>
        <v>1993.6666666666667</v>
      </c>
      <c r="I6" s="9">
        <v>0</v>
      </c>
      <c r="J6" s="4">
        <f t="shared" si="1"/>
        <v>4635.3333333333339</v>
      </c>
      <c r="K6" s="8">
        <v>0</v>
      </c>
      <c r="L6" s="32">
        <f t="shared" ref="L6:L11" si="2">J6-K6</f>
        <v>4635.3333333333339</v>
      </c>
      <c r="M6" s="39"/>
      <c r="N6" s="37"/>
      <c r="R6" s="31"/>
      <c r="S6" s="40"/>
      <c r="T6" s="40"/>
      <c r="U6" s="40"/>
    </row>
    <row r="7" spans="1:22" ht="18.5" x14ac:dyDescent="0.45">
      <c r="A7" s="29">
        <v>4</v>
      </c>
      <c r="B7" s="2" t="s">
        <v>14</v>
      </c>
      <c r="C7" s="4">
        <f>$C$2/$C$18</f>
        <v>425</v>
      </c>
      <c r="D7" s="4">
        <f t="shared" si="0"/>
        <v>1500</v>
      </c>
      <c r="E7" s="4">
        <v>0</v>
      </c>
      <c r="F7" s="4">
        <v>0</v>
      </c>
      <c r="G7" s="4">
        <v>0</v>
      </c>
      <c r="H7" s="9">
        <v>0</v>
      </c>
      <c r="I7" s="9">
        <v>0</v>
      </c>
      <c r="J7" s="4">
        <f t="shared" si="1"/>
        <v>1925</v>
      </c>
      <c r="K7" s="8">
        <v>0</v>
      </c>
      <c r="L7" s="32">
        <f t="shared" si="2"/>
        <v>1925</v>
      </c>
      <c r="M7" s="14"/>
    </row>
    <row r="8" spans="1:22" ht="18.5" x14ac:dyDescent="0.45">
      <c r="A8" s="29">
        <v>5</v>
      </c>
      <c r="B8" s="2" t="s">
        <v>54</v>
      </c>
      <c r="C8" s="4">
        <f>C5/2</f>
        <v>212.5</v>
      </c>
      <c r="D8" s="4">
        <f>D7/2</f>
        <v>750</v>
      </c>
      <c r="E8" s="4">
        <f t="shared" ref="E8:H9" si="3">E5/2</f>
        <v>191.66666666666666</v>
      </c>
      <c r="F8" s="4">
        <f t="shared" si="3"/>
        <v>41.666666666666664</v>
      </c>
      <c r="G8" s="4">
        <f t="shared" si="3"/>
        <v>125</v>
      </c>
      <c r="H8" s="9">
        <f t="shared" si="3"/>
        <v>996.83333333333337</v>
      </c>
      <c r="I8" s="8">
        <v>0</v>
      </c>
      <c r="J8" s="4">
        <f>SUM(C8:I8)</f>
        <v>2317.666666666667</v>
      </c>
      <c r="K8" s="8">
        <v>125</v>
      </c>
      <c r="L8" s="32">
        <f t="shared" si="2"/>
        <v>2192.666666666667</v>
      </c>
      <c r="M8" s="10"/>
      <c r="O8" s="181" t="s">
        <v>56</v>
      </c>
      <c r="P8" s="181"/>
      <c r="Q8" s="181"/>
      <c r="R8" s="181"/>
      <c r="S8" s="181"/>
      <c r="T8" s="181"/>
      <c r="U8" s="181"/>
      <c r="V8" s="181"/>
    </row>
    <row r="9" spans="1:22" ht="18.5" x14ac:dyDescent="0.45">
      <c r="A9" s="29">
        <v>6</v>
      </c>
      <c r="B9" s="2" t="s">
        <v>52</v>
      </c>
      <c r="C9" s="4">
        <f>C6/2</f>
        <v>212.5</v>
      </c>
      <c r="D9" s="4">
        <f>D8</f>
        <v>750</v>
      </c>
      <c r="E9" s="4">
        <f t="shared" si="3"/>
        <v>191.66666666666666</v>
      </c>
      <c r="F9" s="4">
        <f t="shared" si="3"/>
        <v>41.666666666666664</v>
      </c>
      <c r="G9" s="4">
        <f t="shared" si="3"/>
        <v>125</v>
      </c>
      <c r="H9" s="9">
        <f t="shared" si="3"/>
        <v>996.83333333333337</v>
      </c>
      <c r="I9" s="8">
        <v>0</v>
      </c>
      <c r="J9" s="4">
        <f>SUM(C9:I9)</f>
        <v>2317.666666666667</v>
      </c>
      <c r="K9" s="8">
        <v>0</v>
      </c>
      <c r="L9" s="32">
        <f>J9-K9</f>
        <v>2317.666666666667</v>
      </c>
      <c r="M9" s="10"/>
      <c r="O9" s="181"/>
      <c r="P9" s="181"/>
      <c r="Q9" s="181"/>
      <c r="R9" s="181"/>
      <c r="S9" s="181"/>
      <c r="T9" s="181"/>
      <c r="U9" s="181"/>
      <c r="V9" s="181"/>
    </row>
    <row r="10" spans="1:22" s="45" customFormat="1" ht="18.5" x14ac:dyDescent="0.45">
      <c r="A10" s="29">
        <v>7</v>
      </c>
      <c r="B10" s="2" t="s">
        <v>7</v>
      </c>
      <c r="C10" s="4">
        <f>$C$2/$C$18</f>
        <v>425</v>
      </c>
      <c r="D10" s="4">
        <f t="shared" si="0"/>
        <v>1500</v>
      </c>
      <c r="E10" s="4">
        <v>0</v>
      </c>
      <c r="F10" s="4">
        <v>0</v>
      </c>
      <c r="G10" s="4">
        <v>0</v>
      </c>
      <c r="H10" s="9">
        <v>0</v>
      </c>
      <c r="I10" s="8">
        <v>0</v>
      </c>
      <c r="J10" s="4">
        <f t="shared" si="1"/>
        <v>1925</v>
      </c>
      <c r="K10" s="8">
        <v>0</v>
      </c>
      <c r="L10" s="32">
        <f t="shared" si="2"/>
        <v>1925</v>
      </c>
      <c r="M10" s="44"/>
      <c r="O10" s="46" t="s">
        <v>6</v>
      </c>
      <c r="P10" s="46" t="s">
        <v>53</v>
      </c>
      <c r="Q10" s="46" t="s">
        <v>54</v>
      </c>
      <c r="R10" s="47" t="s">
        <v>7</v>
      </c>
      <c r="S10" s="46"/>
      <c r="T10" s="46" t="s">
        <v>55</v>
      </c>
      <c r="U10" s="46"/>
      <c r="V10" s="46" t="s">
        <v>12</v>
      </c>
    </row>
    <row r="11" spans="1:22" ht="18.5" x14ac:dyDescent="0.45">
      <c r="A11" s="29">
        <v>8</v>
      </c>
      <c r="B11" s="2" t="s">
        <v>8</v>
      </c>
      <c r="C11" s="4">
        <f>C5</f>
        <v>425</v>
      </c>
      <c r="D11" s="4">
        <f t="shared" si="0"/>
        <v>1500</v>
      </c>
      <c r="E11" s="4">
        <f>$E$2/$E$18</f>
        <v>383.33333333333331</v>
      </c>
      <c r="F11" s="4">
        <f>$F$2/$F$18</f>
        <v>83.333333333333329</v>
      </c>
      <c r="G11" s="4">
        <f>$G$2/$G$18</f>
        <v>250</v>
      </c>
      <c r="H11" s="9">
        <f>$H$2/$H$18</f>
        <v>1993.6666666666667</v>
      </c>
      <c r="I11" s="8">
        <v>0</v>
      </c>
      <c r="J11" s="4">
        <f t="shared" si="1"/>
        <v>4635.3333333333339</v>
      </c>
      <c r="K11" s="8">
        <v>0</v>
      </c>
      <c r="L11" s="32">
        <f t="shared" si="2"/>
        <v>4635.3333333333339</v>
      </c>
      <c r="M11" s="10"/>
      <c r="O11" s="2">
        <v>6303</v>
      </c>
      <c r="P11" s="2">
        <v>774</v>
      </c>
      <c r="Q11" s="2">
        <f>100+10+15</f>
        <v>125</v>
      </c>
      <c r="R11" s="8">
        <v>2100</v>
      </c>
      <c r="S11" s="2"/>
      <c r="T11" s="2">
        <v>2660</v>
      </c>
      <c r="U11" s="2"/>
      <c r="V11" s="2">
        <f>SUM(O11:T11)</f>
        <v>11962</v>
      </c>
    </row>
    <row r="12" spans="1:22" ht="30" x14ac:dyDescent="0.45">
      <c r="A12" s="29">
        <v>9</v>
      </c>
      <c r="B12" s="2" t="s">
        <v>9</v>
      </c>
      <c r="C12" s="4">
        <f>C5</f>
        <v>425</v>
      </c>
      <c r="D12" s="4">
        <f t="shared" si="0"/>
        <v>1500</v>
      </c>
      <c r="E12" s="4">
        <f>$E$2/$E$18</f>
        <v>383.33333333333331</v>
      </c>
      <c r="F12" s="4">
        <f>$F$2/$F$18</f>
        <v>83.333333333333329</v>
      </c>
      <c r="G12" s="4">
        <f>$G$2/$G$18</f>
        <v>250</v>
      </c>
      <c r="H12" s="9">
        <f>$H$2/$H$18</f>
        <v>1993.6666666666667</v>
      </c>
      <c r="I12" s="8">
        <v>0</v>
      </c>
      <c r="J12" s="4">
        <f t="shared" si="1"/>
        <v>4635.3333333333339</v>
      </c>
      <c r="K12" s="8">
        <v>0</v>
      </c>
      <c r="L12" s="32">
        <f>J12-K12+167</f>
        <v>4802.3333333333339</v>
      </c>
      <c r="M12" s="10"/>
      <c r="R12" s="7" t="s">
        <v>57</v>
      </c>
    </row>
    <row r="13" spans="1:22" ht="18.5" x14ac:dyDescent="0.45">
      <c r="A13" s="29"/>
      <c r="B13" s="2"/>
      <c r="C13" s="2"/>
      <c r="D13" s="2"/>
      <c r="E13" s="2"/>
      <c r="F13" s="2"/>
      <c r="G13" s="2"/>
      <c r="H13" s="8"/>
      <c r="I13" s="8"/>
      <c r="J13" s="2"/>
      <c r="K13" s="8"/>
      <c r="L13" s="33"/>
    </row>
    <row r="14" spans="1:22" ht="14.5" customHeight="1" x14ac:dyDescent="0.35">
      <c r="A14" s="165">
        <f>COUNT(A4:A12)</f>
        <v>9</v>
      </c>
      <c r="B14" s="167" t="s">
        <v>12</v>
      </c>
      <c r="C14" s="169">
        <f>SUM(C4:C12)</f>
        <v>3400</v>
      </c>
      <c r="D14" s="169">
        <f t="shared" ref="D14:L14" si="4">SUM(D4:D12)</f>
        <v>12000</v>
      </c>
      <c r="E14" s="169">
        <f t="shared" si="4"/>
        <v>2300</v>
      </c>
      <c r="F14" s="169">
        <f t="shared" si="4"/>
        <v>500</v>
      </c>
      <c r="G14" s="169">
        <f t="shared" si="4"/>
        <v>1500</v>
      </c>
      <c r="H14" s="169">
        <f t="shared" si="4"/>
        <v>11961.999999999998</v>
      </c>
      <c r="I14" s="169">
        <f t="shared" si="4"/>
        <v>0</v>
      </c>
      <c r="J14" s="169">
        <f t="shared" si="4"/>
        <v>31662.000000000007</v>
      </c>
      <c r="K14" s="169">
        <f>SUM(K4:K12)</f>
        <v>7202</v>
      </c>
      <c r="L14" s="169">
        <f t="shared" si="4"/>
        <v>24627.000000000007</v>
      </c>
    </row>
    <row r="15" spans="1:22" ht="15" customHeight="1" thickBot="1" x14ac:dyDescent="0.4">
      <c r="A15" s="166"/>
      <c r="B15" s="168"/>
      <c r="C15" s="170"/>
      <c r="D15" s="170"/>
      <c r="E15" s="170"/>
      <c r="F15" s="170"/>
      <c r="G15" s="170"/>
      <c r="H15" s="170"/>
      <c r="I15" s="170"/>
      <c r="J15" s="170"/>
      <c r="K15" s="170"/>
      <c r="L15" s="170"/>
    </row>
    <row r="16" spans="1:22" x14ac:dyDescent="0.35">
      <c r="L16" s="10"/>
    </row>
    <row r="17" spans="2:15" ht="29" x14ac:dyDescent="0.35">
      <c r="B17" s="7"/>
      <c r="C17" s="1" t="s">
        <v>2</v>
      </c>
      <c r="D17" s="1" t="s">
        <v>3</v>
      </c>
      <c r="E17" s="1" t="s">
        <v>19</v>
      </c>
      <c r="F17" s="1" t="s">
        <v>13</v>
      </c>
      <c r="G17" s="1" t="s">
        <v>4</v>
      </c>
      <c r="H17" s="13" t="s">
        <v>5</v>
      </c>
      <c r="I17" s="13" t="s">
        <v>21</v>
      </c>
      <c r="J17" s="23"/>
      <c r="K17" s="23"/>
    </row>
    <row r="18" spans="2:15" x14ac:dyDescent="0.35">
      <c r="B18" s="7"/>
      <c r="C18" s="11">
        <v>8</v>
      </c>
      <c r="D18" s="11">
        <v>8</v>
      </c>
      <c r="E18" s="11">
        <v>6</v>
      </c>
      <c r="F18" s="11">
        <v>6</v>
      </c>
      <c r="G18" s="11">
        <v>6</v>
      </c>
      <c r="H18" s="12">
        <v>6</v>
      </c>
      <c r="I18" s="12">
        <v>0</v>
      </c>
      <c r="J18" s="22"/>
      <c r="K18" s="31"/>
      <c r="O18" s="37"/>
    </row>
    <row r="22" spans="2:15" x14ac:dyDescent="0.35">
      <c r="B22" s="7"/>
    </row>
    <row r="23" spans="2:15" x14ac:dyDescent="0.35">
      <c r="B23" s="7"/>
    </row>
    <row r="24" spans="2:15" x14ac:dyDescent="0.35">
      <c r="B24" s="7"/>
    </row>
  </sheetData>
  <mergeCells count="25">
    <mergeCell ref="O8:V9"/>
    <mergeCell ref="L14:L15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2:L3"/>
    <mergeCell ref="K2:K3"/>
    <mergeCell ref="A2:A3"/>
    <mergeCell ref="B2:B3"/>
    <mergeCell ref="C2:C3"/>
    <mergeCell ref="D2:D3"/>
    <mergeCell ref="J2:J3"/>
    <mergeCell ref="E2:E3"/>
    <mergeCell ref="F2:F3"/>
    <mergeCell ref="G2:G3"/>
    <mergeCell ref="H2:H3"/>
    <mergeCell ref="I2:I3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CEE7-D01B-45F2-9CED-3801ACAC9686}">
  <dimension ref="A1:W23"/>
  <sheetViews>
    <sheetView zoomScale="80" zoomScaleNormal="80" workbookViewId="0">
      <selection activeCell="F2" sqref="F2"/>
    </sheetView>
  </sheetViews>
  <sheetFormatPr defaultRowHeight="14.5" x14ac:dyDescent="0.35"/>
  <cols>
    <col min="1" max="1" width="5.453125" style="7" customWidth="1"/>
    <col min="2" max="2" width="11" bestFit="1" customWidth="1"/>
    <col min="3" max="3" width="12.36328125" bestFit="1" customWidth="1"/>
    <col min="4" max="4" width="7.36328125" bestFit="1" customWidth="1"/>
    <col min="5" max="5" width="6.08984375" bestFit="1" customWidth="1"/>
    <col min="6" max="6" width="7.453125" bestFit="1" customWidth="1"/>
    <col min="7" max="7" width="7.90625" bestFit="1" customWidth="1"/>
    <col min="8" max="8" width="7.26953125" style="7" bestFit="1" customWidth="1"/>
    <col min="9" max="9" width="15.36328125" style="7" bestFit="1" customWidth="1"/>
    <col min="10" max="10" width="9.90625" bestFit="1" customWidth="1"/>
    <col min="11" max="11" width="10.08984375" style="7" bestFit="1" customWidth="1"/>
    <col min="12" max="12" width="8.81640625" customWidth="1"/>
    <col min="13" max="13" width="16" bestFit="1" customWidth="1"/>
    <col min="14" max="14" width="12.7265625" customWidth="1"/>
    <col min="16" max="16" width="14.7265625" bestFit="1" customWidth="1"/>
    <col min="18" max="18" width="11.81640625" bestFit="1" customWidth="1"/>
    <col min="19" max="19" width="12.81640625" bestFit="1" customWidth="1"/>
  </cols>
  <sheetData>
    <row r="1" spans="1:23" ht="30" customHeigh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19</v>
      </c>
      <c r="F1" s="25" t="s">
        <v>13</v>
      </c>
      <c r="G1" s="25" t="s">
        <v>4</v>
      </c>
      <c r="H1" s="26" t="s">
        <v>25</v>
      </c>
      <c r="I1" s="26" t="s">
        <v>21</v>
      </c>
      <c r="J1" s="25" t="s">
        <v>23</v>
      </c>
      <c r="K1" s="26" t="s">
        <v>33</v>
      </c>
      <c r="L1" s="27" t="s">
        <v>24</v>
      </c>
      <c r="M1" s="52" t="s">
        <v>72</v>
      </c>
      <c r="N1" s="53"/>
    </row>
    <row r="2" spans="1:23" ht="18.5" x14ac:dyDescent="0.45">
      <c r="A2" s="28"/>
      <c r="B2" s="16"/>
      <c r="C2" s="17">
        <v>3400</v>
      </c>
      <c r="D2" s="17">
        <v>12000</v>
      </c>
      <c r="E2" s="17">
        <v>2300</v>
      </c>
      <c r="F2" s="17">
        <v>110</v>
      </c>
      <c r="G2" s="17">
        <v>824</v>
      </c>
      <c r="H2" s="19">
        <f>Q20</f>
        <v>8917</v>
      </c>
      <c r="I2" s="19">
        <v>0</v>
      </c>
      <c r="J2" s="17">
        <f>SUM(C2:I2)</f>
        <v>27551</v>
      </c>
      <c r="K2" s="43">
        <f>K12</f>
        <v>7025</v>
      </c>
      <c r="L2" s="32">
        <f>J2-K2</f>
        <v>20526</v>
      </c>
      <c r="S2" s="5" t="s">
        <v>17</v>
      </c>
    </row>
    <row r="3" spans="1:23" ht="18.5" x14ac:dyDescent="0.45">
      <c r="A3" s="28"/>
      <c r="B3" s="16"/>
      <c r="C3" s="20"/>
      <c r="D3" s="20"/>
      <c r="E3" s="18"/>
      <c r="F3" s="18"/>
      <c r="G3" s="18"/>
      <c r="H3" s="21"/>
      <c r="I3" s="21"/>
      <c r="J3" s="18"/>
      <c r="K3" s="21"/>
      <c r="L3" s="32"/>
      <c r="M3" s="14"/>
      <c r="N3" s="14"/>
    </row>
    <row r="4" spans="1:23" ht="18.5" x14ac:dyDescent="0.45">
      <c r="A4" s="29">
        <v>1</v>
      </c>
      <c r="B4" s="2" t="s">
        <v>6</v>
      </c>
      <c r="C4" s="4">
        <f>$C$2/$C$16</f>
        <v>485.71428571428572</v>
      </c>
      <c r="D4" s="4">
        <f t="shared" ref="D4:D10" si="0">$D$2/$D$16</f>
        <v>1714.2857142857142</v>
      </c>
      <c r="E4" s="4">
        <f>$E$2/$E$16</f>
        <v>460</v>
      </c>
      <c r="F4" s="4">
        <f>$F$2/$F$16</f>
        <v>22</v>
      </c>
      <c r="G4" s="4">
        <f>$G$2/$G$16</f>
        <v>164.8</v>
      </c>
      <c r="H4" s="9">
        <f>$H$2/$H$16</f>
        <v>1783.4</v>
      </c>
      <c r="I4" s="9">
        <v>0</v>
      </c>
      <c r="J4" s="4">
        <f t="shared" ref="J4:J10" si="1">SUM(C4:I4)</f>
        <v>4630.2000000000007</v>
      </c>
      <c r="K4">
        <f t="shared" ref="K4:K10" si="2">Q11</f>
        <v>3373</v>
      </c>
      <c r="L4" s="32">
        <f t="shared" ref="L4:L10" si="3">J4-K4</f>
        <v>1257.2000000000007</v>
      </c>
      <c r="M4" s="14">
        <v>1257</v>
      </c>
      <c r="N4" s="14"/>
      <c r="R4" t="s">
        <v>4</v>
      </c>
      <c r="S4">
        <v>0</v>
      </c>
    </row>
    <row r="5" spans="1:23" ht="18.5" x14ac:dyDescent="0.45">
      <c r="A5" s="29">
        <v>2</v>
      </c>
      <c r="B5" s="2" t="s">
        <v>11</v>
      </c>
      <c r="C5" s="4">
        <f t="shared" ref="C5:C10" si="4">$C$2/$C$16</f>
        <v>485.71428571428572</v>
      </c>
      <c r="D5" s="4">
        <f t="shared" si="0"/>
        <v>1714.2857142857142</v>
      </c>
      <c r="E5" s="4">
        <f t="shared" ref="E5:E10" si="5">$E$2/$E$16</f>
        <v>460</v>
      </c>
      <c r="F5" s="4">
        <f t="shared" ref="F5:F10" si="6">$F$2/$F$16</f>
        <v>22</v>
      </c>
      <c r="G5" s="4">
        <f t="shared" ref="G5:G10" si="7">$G$2/$G$16</f>
        <v>164.8</v>
      </c>
      <c r="H5" s="9">
        <f t="shared" ref="H5:H10" si="8">$H$2/$H$16</f>
        <v>1783.4</v>
      </c>
      <c r="I5" s="9">
        <v>0</v>
      </c>
      <c r="J5" s="4">
        <f t="shared" si="1"/>
        <v>4630.2000000000007</v>
      </c>
      <c r="K5">
        <f t="shared" si="2"/>
        <v>285</v>
      </c>
      <c r="L5" s="32">
        <f t="shared" si="3"/>
        <v>4345.2000000000007</v>
      </c>
      <c r="M5" s="14">
        <v>4345</v>
      </c>
      <c r="N5" s="14"/>
    </row>
    <row r="6" spans="1:23" ht="18.5" x14ac:dyDescent="0.45">
      <c r="A6" s="29">
        <v>3</v>
      </c>
      <c r="B6" s="2" t="s">
        <v>38</v>
      </c>
      <c r="C6" s="4">
        <f t="shared" si="4"/>
        <v>485.71428571428572</v>
      </c>
      <c r="D6" s="4">
        <f t="shared" si="0"/>
        <v>1714.2857142857142</v>
      </c>
      <c r="E6" s="4">
        <f t="shared" si="5"/>
        <v>460</v>
      </c>
      <c r="F6" s="4">
        <f t="shared" si="6"/>
        <v>22</v>
      </c>
      <c r="G6" s="4">
        <f t="shared" si="7"/>
        <v>164.8</v>
      </c>
      <c r="H6" s="9">
        <f t="shared" si="8"/>
        <v>1783.4</v>
      </c>
      <c r="I6" s="9">
        <v>0</v>
      </c>
      <c r="J6" s="4">
        <f t="shared" si="1"/>
        <v>4630.2000000000007</v>
      </c>
      <c r="K6">
        <f t="shared" si="2"/>
        <v>1630</v>
      </c>
      <c r="L6" s="32">
        <f t="shared" si="3"/>
        <v>3000.2000000000007</v>
      </c>
      <c r="M6" s="14">
        <v>3000</v>
      </c>
      <c r="N6" s="39"/>
      <c r="O6" s="37"/>
      <c r="S6" s="40"/>
      <c r="T6" s="40"/>
      <c r="U6" s="40"/>
      <c r="V6" s="40"/>
      <c r="W6" s="40"/>
    </row>
    <row r="7" spans="1:23" ht="18.5" x14ac:dyDescent="0.45">
      <c r="A7" s="29">
        <v>4</v>
      </c>
      <c r="B7" s="2" t="s">
        <v>8</v>
      </c>
      <c r="C7" s="4">
        <f t="shared" si="4"/>
        <v>485.71428571428572</v>
      </c>
      <c r="D7" s="4">
        <f t="shared" si="0"/>
        <v>1714.2857142857142</v>
      </c>
      <c r="E7" s="4">
        <f t="shared" si="5"/>
        <v>460</v>
      </c>
      <c r="F7" s="4">
        <f t="shared" si="6"/>
        <v>22</v>
      </c>
      <c r="G7" s="4">
        <f t="shared" si="7"/>
        <v>164.8</v>
      </c>
      <c r="H7" s="9">
        <f t="shared" si="8"/>
        <v>1783.4</v>
      </c>
      <c r="I7" s="9">
        <v>0</v>
      </c>
      <c r="J7" s="4">
        <f t="shared" si="1"/>
        <v>4630.2000000000007</v>
      </c>
      <c r="K7">
        <f t="shared" si="2"/>
        <v>363</v>
      </c>
      <c r="L7" s="32">
        <f t="shared" si="3"/>
        <v>4267.2000000000007</v>
      </c>
      <c r="M7" s="15">
        <v>0</v>
      </c>
      <c r="N7" s="14"/>
    </row>
    <row r="8" spans="1:23" ht="18.5" x14ac:dyDescent="0.45">
      <c r="A8" s="29">
        <v>5</v>
      </c>
      <c r="B8" s="2" t="s">
        <v>14</v>
      </c>
      <c r="C8" s="4">
        <f t="shared" si="4"/>
        <v>485.71428571428572</v>
      </c>
      <c r="D8" s="4">
        <f t="shared" si="0"/>
        <v>1714.2857142857142</v>
      </c>
      <c r="E8" s="4">
        <v>0</v>
      </c>
      <c r="F8" s="4">
        <v>0</v>
      </c>
      <c r="G8" s="4">
        <v>0</v>
      </c>
      <c r="H8" s="9">
        <v>0</v>
      </c>
      <c r="I8" s="9">
        <v>0</v>
      </c>
      <c r="J8" s="4">
        <f t="shared" si="1"/>
        <v>2200</v>
      </c>
      <c r="K8">
        <f t="shared" si="2"/>
        <v>0</v>
      </c>
      <c r="L8" s="32">
        <f t="shared" si="3"/>
        <v>2200</v>
      </c>
      <c r="M8" s="14">
        <v>2200</v>
      </c>
      <c r="N8" s="10"/>
    </row>
    <row r="9" spans="1:23" ht="18.5" customHeight="1" x14ac:dyDescent="0.45">
      <c r="A9" s="29">
        <v>6</v>
      </c>
      <c r="B9" s="2" t="s">
        <v>7</v>
      </c>
      <c r="C9" s="4">
        <f t="shared" si="4"/>
        <v>485.71428571428572</v>
      </c>
      <c r="D9" s="4">
        <f t="shared" si="0"/>
        <v>1714.2857142857142</v>
      </c>
      <c r="E9" s="4">
        <v>0</v>
      </c>
      <c r="F9" s="4">
        <v>0</v>
      </c>
      <c r="G9" s="4">
        <v>0</v>
      </c>
      <c r="H9" s="9">
        <v>0</v>
      </c>
      <c r="I9" s="8">
        <v>0</v>
      </c>
      <c r="J9" s="4">
        <f t="shared" si="1"/>
        <v>2200</v>
      </c>
      <c r="K9">
        <f t="shared" si="2"/>
        <v>1150</v>
      </c>
      <c r="L9" s="32">
        <f t="shared" si="3"/>
        <v>1050</v>
      </c>
      <c r="M9" s="15">
        <v>1050</v>
      </c>
      <c r="N9" s="10"/>
      <c r="O9" s="182" t="s">
        <v>69</v>
      </c>
      <c r="P9" s="182"/>
      <c r="Q9" s="182"/>
      <c r="R9" s="182"/>
      <c r="S9" s="182"/>
    </row>
    <row r="10" spans="1:23" ht="18.5" customHeight="1" x14ac:dyDescent="0.45">
      <c r="A10" s="29">
        <v>7</v>
      </c>
      <c r="B10" s="2" t="s">
        <v>9</v>
      </c>
      <c r="C10" s="4">
        <f t="shared" si="4"/>
        <v>485.71428571428572</v>
      </c>
      <c r="D10" s="4">
        <f t="shared" si="0"/>
        <v>1714.2857142857142</v>
      </c>
      <c r="E10" s="4">
        <f t="shared" si="5"/>
        <v>460</v>
      </c>
      <c r="F10" s="4">
        <f t="shared" si="6"/>
        <v>22</v>
      </c>
      <c r="G10" s="4">
        <f t="shared" si="7"/>
        <v>164.8</v>
      </c>
      <c r="H10" s="9">
        <f t="shared" si="8"/>
        <v>1783.4</v>
      </c>
      <c r="I10" s="8">
        <v>0</v>
      </c>
      <c r="J10" s="4">
        <f t="shared" si="1"/>
        <v>4630.2000000000007</v>
      </c>
      <c r="K10">
        <f t="shared" si="2"/>
        <v>224</v>
      </c>
      <c r="L10" s="32">
        <f t="shared" si="3"/>
        <v>4406.2000000000007</v>
      </c>
      <c r="M10" s="15">
        <v>4406</v>
      </c>
      <c r="N10" s="10"/>
      <c r="O10" s="2"/>
      <c r="P10" s="11" t="s">
        <v>68</v>
      </c>
      <c r="Q10" s="2"/>
      <c r="R10" s="2"/>
      <c r="S10" s="2"/>
    </row>
    <row r="11" spans="1:23" ht="18.5" x14ac:dyDescent="0.45">
      <c r="A11" s="29"/>
      <c r="B11" s="2"/>
      <c r="C11" s="2"/>
      <c r="D11" s="2"/>
      <c r="E11" s="2"/>
      <c r="F11" s="2"/>
      <c r="G11" s="2"/>
      <c r="H11" s="8"/>
      <c r="I11" s="8"/>
      <c r="J11" s="2"/>
      <c r="K11" s="8"/>
      <c r="L11" s="33"/>
      <c r="M11" s="10"/>
      <c r="O11" s="2"/>
      <c r="P11" s="2" t="s">
        <v>6</v>
      </c>
      <c r="Q11" s="2">
        <v>3373</v>
      </c>
      <c r="R11" s="2"/>
      <c r="S11" s="2"/>
    </row>
    <row r="12" spans="1:23" ht="14.5" customHeight="1" x14ac:dyDescent="0.35">
      <c r="A12" s="165">
        <f>COUNT(A4:A10)</f>
        <v>7</v>
      </c>
      <c r="B12" s="167" t="s">
        <v>12</v>
      </c>
      <c r="C12" s="169">
        <f t="shared" ref="C12:I12" si="9">SUM(C4:C10)</f>
        <v>3400</v>
      </c>
      <c r="D12" s="169">
        <f t="shared" si="9"/>
        <v>11999.999999999998</v>
      </c>
      <c r="E12" s="169">
        <f t="shared" si="9"/>
        <v>2300</v>
      </c>
      <c r="F12" s="169">
        <f t="shared" si="9"/>
        <v>110</v>
      </c>
      <c r="G12" s="169">
        <f t="shared" si="9"/>
        <v>824</v>
      </c>
      <c r="H12" s="169">
        <f t="shared" si="9"/>
        <v>8917</v>
      </c>
      <c r="I12" s="169">
        <f t="shared" si="9"/>
        <v>0</v>
      </c>
      <c r="J12" s="169">
        <f>SUM(J4:J10)</f>
        <v>27551.000000000004</v>
      </c>
      <c r="K12" s="169">
        <f>SUM(K4:K10)</f>
        <v>7025</v>
      </c>
      <c r="L12" s="183">
        <f>SUM(L4:L10)</f>
        <v>20526.000000000004</v>
      </c>
      <c r="M12" s="169">
        <f>SUM(M4:M10)</f>
        <v>16258</v>
      </c>
      <c r="N12" s="183" t="s">
        <v>73</v>
      </c>
      <c r="O12" s="2"/>
      <c r="P12" s="2" t="s">
        <v>11</v>
      </c>
      <c r="Q12" s="2">
        <v>285</v>
      </c>
      <c r="R12" s="2"/>
      <c r="S12" s="2"/>
    </row>
    <row r="13" spans="1:23" ht="15" customHeight="1" thickBot="1" x14ac:dyDescent="0.4">
      <c r="A13" s="166"/>
      <c r="B13" s="168"/>
      <c r="C13" s="170"/>
      <c r="D13" s="170"/>
      <c r="E13" s="170"/>
      <c r="F13" s="170"/>
      <c r="G13" s="170"/>
      <c r="H13" s="170"/>
      <c r="I13" s="170"/>
      <c r="J13" s="170"/>
      <c r="K13" s="170"/>
      <c r="L13" s="184"/>
      <c r="M13" s="169"/>
      <c r="N13" s="183"/>
      <c r="O13" s="2"/>
      <c r="P13" s="2" t="s">
        <v>38</v>
      </c>
      <c r="Q13" s="2">
        <v>1630</v>
      </c>
      <c r="R13" s="2"/>
      <c r="S13" s="2"/>
    </row>
    <row r="14" spans="1:23" ht="15.5" x14ac:dyDescent="0.35">
      <c r="L14" s="10"/>
      <c r="M14" s="18" t="s">
        <v>12</v>
      </c>
      <c r="N14" s="54">
        <f>-M12</f>
        <v>-16258</v>
      </c>
      <c r="O14" s="59"/>
      <c r="P14" s="2" t="s">
        <v>8</v>
      </c>
      <c r="Q14" s="2">
        <v>363</v>
      </c>
      <c r="R14" s="2"/>
      <c r="S14" s="2"/>
    </row>
    <row r="15" spans="1:23" ht="29" x14ac:dyDescent="0.35">
      <c r="B15" s="7"/>
      <c r="C15" s="1" t="s">
        <v>2</v>
      </c>
      <c r="D15" s="1" t="s">
        <v>3</v>
      </c>
      <c r="E15" s="1" t="s">
        <v>19</v>
      </c>
      <c r="F15" s="1" t="s">
        <v>13</v>
      </c>
      <c r="G15" s="1" t="s">
        <v>4</v>
      </c>
      <c r="H15" s="13" t="s">
        <v>5</v>
      </c>
      <c r="I15" s="13" t="s">
        <v>21</v>
      </c>
      <c r="J15" s="23"/>
      <c r="K15" s="23"/>
      <c r="M15" s="2"/>
      <c r="N15" s="2"/>
      <c r="O15" s="59"/>
      <c r="P15" s="2" t="s">
        <v>14</v>
      </c>
      <c r="Q15" s="2">
        <v>0</v>
      </c>
      <c r="R15" s="2"/>
      <c r="S15" s="2"/>
    </row>
    <row r="16" spans="1:23" ht="15.5" x14ac:dyDescent="0.35">
      <c r="B16" s="7"/>
      <c r="C16" s="11">
        <v>7</v>
      </c>
      <c r="D16" s="11">
        <v>7</v>
      </c>
      <c r="E16" s="11">
        <v>5</v>
      </c>
      <c r="F16" s="11">
        <v>5</v>
      </c>
      <c r="G16" s="11">
        <v>5</v>
      </c>
      <c r="H16" s="12">
        <v>5</v>
      </c>
      <c r="I16" s="12">
        <v>5</v>
      </c>
      <c r="J16" s="22"/>
      <c r="K16" s="31"/>
      <c r="M16" s="18" t="s">
        <v>19</v>
      </c>
      <c r="N16" s="60">
        <v>2300</v>
      </c>
      <c r="O16" s="59"/>
      <c r="P16" s="2" t="s">
        <v>7</v>
      </c>
      <c r="Q16" s="2">
        <v>1150</v>
      </c>
      <c r="R16" s="2"/>
      <c r="S16" s="2"/>
    </row>
    <row r="17" spans="2:19" ht="15.5" x14ac:dyDescent="0.35">
      <c r="M17" s="18" t="s">
        <v>2</v>
      </c>
      <c r="N17" s="60">
        <f>C2</f>
        <v>3400</v>
      </c>
      <c r="O17" s="59"/>
      <c r="P17" s="2" t="s">
        <v>9</v>
      </c>
      <c r="Q17" s="2">
        <v>224</v>
      </c>
      <c r="R17" s="2"/>
      <c r="S17" s="2"/>
    </row>
    <row r="18" spans="2:19" ht="15.5" x14ac:dyDescent="0.35">
      <c r="M18" s="18" t="s">
        <v>3</v>
      </c>
      <c r="N18" s="60">
        <f>D2</f>
        <v>12000</v>
      </c>
      <c r="O18" s="59"/>
      <c r="P18" s="3" t="s">
        <v>71</v>
      </c>
      <c r="Q18" s="2">
        <f>SUM(Q11:Q17)</f>
        <v>7025</v>
      </c>
      <c r="R18" s="2"/>
      <c r="S18" s="2"/>
    </row>
    <row r="19" spans="2:19" ht="15.5" x14ac:dyDescent="0.35">
      <c r="B19" s="7"/>
      <c r="M19" s="18" t="s">
        <v>4</v>
      </c>
      <c r="N19" s="60">
        <f>G2</f>
        <v>824</v>
      </c>
      <c r="O19" s="59"/>
      <c r="P19" s="3" t="s">
        <v>70</v>
      </c>
      <c r="Q19" s="2">
        <f>1192+700</f>
        <v>1892</v>
      </c>
      <c r="R19" s="2"/>
      <c r="S19" s="2"/>
    </row>
    <row r="20" spans="2:19" ht="15.5" x14ac:dyDescent="0.35">
      <c r="B20" s="7"/>
      <c r="M20" s="18" t="s">
        <v>13</v>
      </c>
      <c r="N20" s="60">
        <f>F2</f>
        <v>110</v>
      </c>
      <c r="O20" s="59"/>
      <c r="P20" s="11" t="s">
        <v>12</v>
      </c>
      <c r="Q20" s="11">
        <f>SUM(Q18:Q19)</f>
        <v>8917</v>
      </c>
      <c r="R20" s="2"/>
      <c r="S20" s="2"/>
    </row>
    <row r="21" spans="2:19" ht="15.5" x14ac:dyDescent="0.35">
      <c r="B21" s="7"/>
      <c r="M21" s="18" t="s">
        <v>106</v>
      </c>
      <c r="N21" s="60">
        <f>Q19</f>
        <v>1892</v>
      </c>
      <c r="O21" s="14"/>
      <c r="P21" s="15"/>
      <c r="Q21" s="15"/>
      <c r="R21" s="14"/>
      <c r="S21" s="14"/>
    </row>
    <row r="22" spans="2:19" ht="15.5" x14ac:dyDescent="0.35">
      <c r="B22" s="7"/>
      <c r="M22" s="18"/>
      <c r="N22" s="18"/>
      <c r="O22" s="14"/>
      <c r="P22" s="15"/>
      <c r="Q22" s="15"/>
      <c r="R22" s="14"/>
      <c r="S22" s="14"/>
    </row>
    <row r="23" spans="2:19" ht="15.5" x14ac:dyDescent="0.35">
      <c r="B23" s="7"/>
      <c r="M23" s="18" t="s">
        <v>74</v>
      </c>
      <c r="N23" s="54">
        <f>SUM(N14:N21)</f>
        <v>4268</v>
      </c>
    </row>
  </sheetData>
  <mergeCells count="15">
    <mergeCell ref="O9:S9"/>
    <mergeCell ref="L12:L13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M12:M13"/>
    <mergeCell ref="N12:N13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05B5-4F80-4228-B0CC-63BBDBFBFC8A}">
  <dimension ref="A1:W28"/>
  <sheetViews>
    <sheetView topLeftCell="A7" zoomScale="80" zoomScaleNormal="80" workbookViewId="0">
      <selection activeCell="F2" sqref="F2"/>
    </sheetView>
  </sheetViews>
  <sheetFormatPr defaultRowHeight="14.5" x14ac:dyDescent="0.35"/>
  <cols>
    <col min="1" max="1" width="5.08984375" style="7" bestFit="1" customWidth="1"/>
    <col min="2" max="2" width="11" bestFit="1" customWidth="1"/>
    <col min="3" max="3" width="6.36328125" customWidth="1"/>
    <col min="4" max="4" width="7.36328125" bestFit="1" customWidth="1"/>
    <col min="5" max="5" width="6.08984375" customWidth="1"/>
    <col min="6" max="6" width="7.453125" customWidth="1"/>
    <col min="7" max="7" width="7.90625" customWidth="1"/>
    <col min="8" max="8" width="7.26953125" style="7" bestFit="1" customWidth="1"/>
    <col min="9" max="9" width="15.36328125" style="7" bestFit="1" customWidth="1"/>
    <col min="10" max="10" width="9.90625" bestFit="1" customWidth="1"/>
    <col min="11" max="11" width="10.08984375" style="7" bestFit="1" customWidth="1"/>
    <col min="12" max="12" width="8.81640625" customWidth="1"/>
    <col min="13" max="13" width="12.90625" bestFit="1" customWidth="1"/>
    <col min="16" max="16" width="7.7265625" bestFit="1" customWidth="1"/>
    <col min="17" max="17" width="12.81640625" bestFit="1" customWidth="1"/>
  </cols>
  <sheetData>
    <row r="1" spans="1:23" ht="30" customHeigh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19</v>
      </c>
      <c r="F1" s="25" t="s">
        <v>13</v>
      </c>
      <c r="G1" s="25" t="s">
        <v>4</v>
      </c>
      <c r="H1" s="26" t="s">
        <v>25</v>
      </c>
      <c r="I1" s="26" t="s">
        <v>21</v>
      </c>
      <c r="J1" s="25" t="s">
        <v>23</v>
      </c>
      <c r="K1" s="26" t="s">
        <v>33</v>
      </c>
      <c r="L1" s="27" t="s">
        <v>24</v>
      </c>
      <c r="Q1" s="1" t="s">
        <v>2</v>
      </c>
      <c r="R1" s="1" t="s">
        <v>3</v>
      </c>
      <c r="S1" s="1" t="s">
        <v>19</v>
      </c>
      <c r="T1" s="1" t="s">
        <v>13</v>
      </c>
      <c r="U1" s="1" t="s">
        <v>4</v>
      </c>
      <c r="V1" s="13" t="s">
        <v>5</v>
      </c>
      <c r="W1" s="13" t="s">
        <v>21</v>
      </c>
    </row>
    <row r="2" spans="1:23" ht="18.5" x14ac:dyDescent="0.45">
      <c r="A2" s="28"/>
      <c r="B2" s="16"/>
      <c r="C2" s="17">
        <v>3400</v>
      </c>
      <c r="D2" s="17">
        <v>12000</v>
      </c>
      <c r="E2" s="17">
        <v>2300</v>
      </c>
      <c r="F2" s="17">
        <v>810</v>
      </c>
      <c r="G2" s="17">
        <v>0</v>
      </c>
      <c r="H2" s="19">
        <f>S28</f>
        <v>10833</v>
      </c>
      <c r="I2" s="19">
        <v>0</v>
      </c>
      <c r="J2" s="17">
        <f>SUM(C2:I2)</f>
        <v>29343</v>
      </c>
      <c r="K2" s="43">
        <f>K14</f>
        <v>7375</v>
      </c>
      <c r="L2" s="32">
        <f>J2-K2</f>
        <v>21968</v>
      </c>
      <c r="Q2" s="11">
        <v>8.5</v>
      </c>
      <c r="R2" s="11">
        <v>8.5</v>
      </c>
      <c r="S2" s="11">
        <v>5.5</v>
      </c>
      <c r="T2" s="11">
        <v>6.5</v>
      </c>
      <c r="U2" s="11">
        <v>5.5</v>
      </c>
      <c r="V2" s="12">
        <v>5.5</v>
      </c>
      <c r="W2" s="12">
        <v>0</v>
      </c>
    </row>
    <row r="3" spans="1:23" ht="18.5" x14ac:dyDescent="0.45">
      <c r="A3" s="28"/>
      <c r="B3" s="16"/>
      <c r="C3" s="20"/>
      <c r="D3" s="20"/>
      <c r="E3" s="18"/>
      <c r="F3" s="18"/>
      <c r="G3" s="18"/>
      <c r="H3" s="21"/>
      <c r="I3" s="21"/>
      <c r="J3" s="18"/>
      <c r="K3" s="21"/>
      <c r="L3" s="32"/>
    </row>
    <row r="4" spans="1:23" ht="18.5" x14ac:dyDescent="0.45">
      <c r="A4" s="29">
        <v>1</v>
      </c>
      <c r="B4" s="2" t="s">
        <v>6</v>
      </c>
      <c r="C4" s="4">
        <f t="shared" ref="C4:C11" si="0">$C$2/$Q$2</f>
        <v>400</v>
      </c>
      <c r="D4" s="4">
        <f t="shared" ref="D4:D11" si="1">$D$2/$R$2</f>
        <v>1411.7647058823529</v>
      </c>
      <c r="E4" s="4">
        <v>0</v>
      </c>
      <c r="F4" s="4">
        <f>$F$2/$T$2</f>
        <v>124.61538461538461</v>
      </c>
      <c r="G4" s="4">
        <v>0</v>
      </c>
      <c r="H4" s="9">
        <v>0</v>
      </c>
      <c r="I4" s="9">
        <f>'Apr-2022'!L7/3-700</f>
        <v>722.40000000000032</v>
      </c>
      <c r="J4" s="4">
        <f t="shared" ref="J4:J11" si="2">SUM(C4:I4)</f>
        <v>2658.7800904977375</v>
      </c>
      <c r="K4" s="8">
        <f>S16</f>
        <v>810</v>
      </c>
      <c r="L4" s="32">
        <f t="shared" ref="L4:L12" si="3">J4-K4</f>
        <v>1848.7800904977375</v>
      </c>
      <c r="M4" s="61">
        <f>L4</f>
        <v>1848.7800904977375</v>
      </c>
      <c r="N4" s="14"/>
      <c r="O4" s="14"/>
      <c r="P4" s="2"/>
      <c r="Q4" s="1" t="s">
        <v>17</v>
      </c>
    </row>
    <row r="5" spans="1:23" ht="18.5" x14ac:dyDescent="0.45">
      <c r="A5" s="29">
        <v>2</v>
      </c>
      <c r="B5" s="2" t="s">
        <v>11</v>
      </c>
      <c r="C5" s="4">
        <f t="shared" si="0"/>
        <v>400</v>
      </c>
      <c r="D5" s="4">
        <f t="shared" si="1"/>
        <v>1411.7647058823529</v>
      </c>
      <c r="E5" s="4">
        <f>$E$2/$S$2</f>
        <v>418.18181818181819</v>
      </c>
      <c r="F5" s="4">
        <f>$F$2/$T$2</f>
        <v>124.61538461538461</v>
      </c>
      <c r="G5" s="4">
        <v>0</v>
      </c>
      <c r="H5" s="9">
        <f t="shared" ref="H5:H11" si="4">$H$2/$V$2</f>
        <v>1969.6363636363637</v>
      </c>
      <c r="I5" s="9">
        <f>I6+700</f>
        <v>2122.4000000000005</v>
      </c>
      <c r="J5" s="4">
        <f t="shared" si="2"/>
        <v>6446.5982723159204</v>
      </c>
      <c r="K5" s="8">
        <f t="shared" ref="K5:K12" si="5">S17</f>
        <v>550</v>
      </c>
      <c r="L5" s="32">
        <f t="shared" si="3"/>
        <v>5896.5982723159204</v>
      </c>
      <c r="M5" s="61">
        <f t="shared" ref="M5:M12" si="6">L5</f>
        <v>5896.5982723159204</v>
      </c>
      <c r="N5" s="14"/>
      <c r="O5" s="14"/>
      <c r="P5" s="2" t="s">
        <v>4</v>
      </c>
      <c r="Q5" s="2">
        <v>0</v>
      </c>
    </row>
    <row r="6" spans="1:23" ht="18.5" x14ac:dyDescent="0.45">
      <c r="A6" s="29">
        <v>3</v>
      </c>
      <c r="B6" s="2" t="s">
        <v>38</v>
      </c>
      <c r="C6" s="4">
        <f t="shared" si="0"/>
        <v>400</v>
      </c>
      <c r="D6" s="4">
        <f t="shared" si="1"/>
        <v>1411.7647058823529</v>
      </c>
      <c r="E6" s="4">
        <f>$E$2/$S$2</f>
        <v>418.18181818181819</v>
      </c>
      <c r="F6" s="4">
        <f>$F$2/$T$2</f>
        <v>124.61538461538461</v>
      </c>
      <c r="G6" s="4">
        <v>0</v>
      </c>
      <c r="H6" s="9">
        <f t="shared" si="4"/>
        <v>1969.6363636363637</v>
      </c>
      <c r="I6" s="9">
        <f>'Apr-2022'!L7/3</f>
        <v>1422.4000000000003</v>
      </c>
      <c r="J6" s="4">
        <f t="shared" si="2"/>
        <v>5746.5982723159204</v>
      </c>
      <c r="K6" s="8">
        <f t="shared" si="5"/>
        <v>0</v>
      </c>
      <c r="L6" s="32">
        <f t="shared" si="3"/>
        <v>5746.5982723159204</v>
      </c>
      <c r="M6" s="61">
        <f t="shared" si="6"/>
        <v>5746.5982723159204</v>
      </c>
      <c r="N6" s="39"/>
      <c r="O6" s="39"/>
      <c r="T6" s="40"/>
      <c r="U6" s="40"/>
    </row>
    <row r="7" spans="1:23" ht="18.5" x14ac:dyDescent="0.45">
      <c r="A7" s="29">
        <v>4</v>
      </c>
      <c r="B7" s="2" t="s">
        <v>8</v>
      </c>
      <c r="C7" s="4">
        <f t="shared" si="0"/>
        <v>400</v>
      </c>
      <c r="D7" s="4">
        <f t="shared" si="1"/>
        <v>1411.7647058823529</v>
      </c>
      <c r="E7" s="4">
        <f>$E$2/$S$2</f>
        <v>418.18181818181819</v>
      </c>
      <c r="F7" s="4">
        <f>$F$2/$T$2</f>
        <v>124.61538461538461</v>
      </c>
      <c r="G7" s="4">
        <v>0</v>
      </c>
      <c r="H7" s="9">
        <f t="shared" si="4"/>
        <v>1969.6363636363637</v>
      </c>
      <c r="I7" s="9">
        <v>0</v>
      </c>
      <c r="J7" s="4">
        <f t="shared" si="2"/>
        <v>4324.1982723159199</v>
      </c>
      <c r="K7" s="8">
        <f t="shared" si="5"/>
        <v>590</v>
      </c>
      <c r="L7" s="32">
        <f t="shared" si="3"/>
        <v>3734.1982723159199</v>
      </c>
      <c r="M7" s="61">
        <v>3734</v>
      </c>
      <c r="N7" s="14"/>
      <c r="O7" s="14"/>
    </row>
    <row r="8" spans="1:23" ht="18.5" x14ac:dyDescent="0.45">
      <c r="A8" s="29">
        <v>5</v>
      </c>
      <c r="B8" s="2" t="s">
        <v>14</v>
      </c>
      <c r="C8" s="4">
        <f t="shared" si="0"/>
        <v>400</v>
      </c>
      <c r="D8" s="4">
        <f t="shared" si="1"/>
        <v>1411.7647058823529</v>
      </c>
      <c r="E8" s="4">
        <v>0</v>
      </c>
      <c r="F8" s="4">
        <v>0</v>
      </c>
      <c r="G8" s="4">
        <v>0</v>
      </c>
      <c r="H8" s="9">
        <v>0</v>
      </c>
      <c r="I8" s="9">
        <v>0</v>
      </c>
      <c r="J8" s="4">
        <f t="shared" si="2"/>
        <v>1811.7647058823529</v>
      </c>
      <c r="K8" s="8">
        <f t="shared" si="5"/>
        <v>0</v>
      </c>
      <c r="L8" s="32">
        <f t="shared" si="3"/>
        <v>1811.7647058823529</v>
      </c>
      <c r="M8" s="61">
        <f t="shared" si="6"/>
        <v>1811.7647058823529</v>
      </c>
      <c r="N8" s="10"/>
      <c r="O8" s="10"/>
    </row>
    <row r="9" spans="1:23" ht="18.5" x14ac:dyDescent="0.45">
      <c r="A9" s="29">
        <v>6</v>
      </c>
      <c r="B9" s="2" t="s">
        <v>7</v>
      </c>
      <c r="C9" s="4">
        <f t="shared" si="0"/>
        <v>400</v>
      </c>
      <c r="D9" s="4">
        <f t="shared" si="1"/>
        <v>1411.7647058823529</v>
      </c>
      <c r="E9" s="4">
        <v>0</v>
      </c>
      <c r="F9" s="4">
        <v>0</v>
      </c>
      <c r="G9" s="4">
        <v>0</v>
      </c>
      <c r="H9" s="9">
        <v>0</v>
      </c>
      <c r="I9" s="8">
        <v>0</v>
      </c>
      <c r="J9" s="4">
        <f t="shared" si="2"/>
        <v>1811.7647058823529</v>
      </c>
      <c r="K9" s="8">
        <f t="shared" si="5"/>
        <v>1100</v>
      </c>
      <c r="L9" s="32">
        <f t="shared" si="3"/>
        <v>711.76470588235293</v>
      </c>
      <c r="M9" s="61">
        <f t="shared" si="6"/>
        <v>711.76470588235293</v>
      </c>
      <c r="N9" s="10"/>
      <c r="O9" s="10"/>
    </row>
    <row r="10" spans="1:23" ht="18.5" x14ac:dyDescent="0.45">
      <c r="A10" s="29">
        <v>7</v>
      </c>
      <c r="B10" s="3" t="s">
        <v>9</v>
      </c>
      <c r="C10" s="4">
        <f t="shared" si="0"/>
        <v>400</v>
      </c>
      <c r="D10" s="4">
        <f t="shared" si="1"/>
        <v>1411.7647058823529</v>
      </c>
      <c r="E10" s="4">
        <f>$E$2/$S$2</f>
        <v>418.18181818181819</v>
      </c>
      <c r="F10" s="4">
        <f>$F$2/$T$2</f>
        <v>124.61538461538461</v>
      </c>
      <c r="G10" s="4">
        <v>0</v>
      </c>
      <c r="H10" s="9">
        <f t="shared" si="4"/>
        <v>1969.6363636363637</v>
      </c>
      <c r="I10" s="8">
        <v>0</v>
      </c>
      <c r="J10" s="4">
        <f t="shared" si="2"/>
        <v>4324.1982723159199</v>
      </c>
      <c r="K10" s="8">
        <f t="shared" si="5"/>
        <v>250</v>
      </c>
      <c r="L10" s="32">
        <f t="shared" si="3"/>
        <v>4074.1982723159199</v>
      </c>
      <c r="M10" s="10">
        <f>L10</f>
        <v>4074.1982723159199</v>
      </c>
      <c r="N10" s="10"/>
      <c r="O10" s="10"/>
    </row>
    <row r="11" spans="1:23" ht="18.5" x14ac:dyDescent="0.45">
      <c r="A11" s="29">
        <v>8</v>
      </c>
      <c r="B11" s="3" t="s">
        <v>101</v>
      </c>
      <c r="C11" s="4">
        <f t="shared" si="0"/>
        <v>400</v>
      </c>
      <c r="D11" s="4">
        <f t="shared" si="1"/>
        <v>1411.7647058823529</v>
      </c>
      <c r="E11" s="4">
        <f>$E$2/$S$2</f>
        <v>418.18181818181819</v>
      </c>
      <c r="F11" s="4">
        <f>$F$2/$T$2</f>
        <v>124.61538461538461</v>
      </c>
      <c r="G11" s="4">
        <v>0</v>
      </c>
      <c r="H11" s="9">
        <f t="shared" si="4"/>
        <v>1969.6363636363637</v>
      </c>
      <c r="I11" s="8">
        <v>0</v>
      </c>
      <c r="J11" s="4">
        <f t="shared" si="2"/>
        <v>4324.1982723159199</v>
      </c>
      <c r="K11" s="8">
        <f t="shared" si="5"/>
        <v>2151</v>
      </c>
      <c r="L11" s="32">
        <f t="shared" si="3"/>
        <v>2173.1982723159199</v>
      </c>
      <c r="M11" s="10">
        <f t="shared" si="6"/>
        <v>2173.1982723159199</v>
      </c>
    </row>
    <row r="12" spans="1:23" ht="18.5" x14ac:dyDescent="0.45">
      <c r="A12" s="29">
        <v>9</v>
      </c>
      <c r="B12" s="2" t="s">
        <v>102</v>
      </c>
      <c r="C12" s="4">
        <f>C11/2</f>
        <v>200</v>
      </c>
      <c r="D12" s="4">
        <f>D11/2</f>
        <v>705.88235294117646</v>
      </c>
      <c r="E12" s="4">
        <f t="shared" ref="E12:J12" si="7">E11/2</f>
        <v>209.09090909090909</v>
      </c>
      <c r="F12" s="4">
        <f t="shared" si="7"/>
        <v>62.307692307692307</v>
      </c>
      <c r="G12" s="4">
        <f>G11/2</f>
        <v>0</v>
      </c>
      <c r="H12" s="4">
        <f>H11/2</f>
        <v>984.81818181818187</v>
      </c>
      <c r="I12" s="4">
        <f t="shared" si="7"/>
        <v>0</v>
      </c>
      <c r="J12" s="4">
        <f t="shared" si="7"/>
        <v>2162.0991361579599</v>
      </c>
      <c r="K12" s="8">
        <f t="shared" si="5"/>
        <v>1924</v>
      </c>
      <c r="L12" s="32">
        <f t="shared" si="3"/>
        <v>238.09913615795995</v>
      </c>
      <c r="M12" s="61">
        <f t="shared" si="6"/>
        <v>238.09913615795995</v>
      </c>
    </row>
    <row r="13" spans="1:23" ht="18.5" x14ac:dyDescent="0.45">
      <c r="A13" s="29"/>
      <c r="B13" s="2"/>
      <c r="C13" s="2"/>
      <c r="D13" s="2"/>
      <c r="E13" s="2"/>
      <c r="F13" s="2"/>
      <c r="G13" s="2"/>
      <c r="H13" s="8"/>
      <c r="I13" s="8"/>
      <c r="J13" s="2"/>
      <c r="K13" s="8"/>
      <c r="L13" s="33"/>
    </row>
    <row r="14" spans="1:23" ht="14.5" customHeight="1" x14ac:dyDescent="0.45">
      <c r="A14" s="165">
        <f>COUNT(A4:A12)</f>
        <v>9</v>
      </c>
      <c r="B14" s="167" t="s">
        <v>12</v>
      </c>
      <c r="C14" s="169">
        <f t="shared" ref="C14:M14" si="8">SUM(C4:C12)</f>
        <v>3400</v>
      </c>
      <c r="D14" s="196">
        <f t="shared" si="8"/>
        <v>12000</v>
      </c>
      <c r="E14" s="196">
        <f t="shared" si="8"/>
        <v>2300</v>
      </c>
      <c r="F14" s="196">
        <f t="shared" si="8"/>
        <v>810</v>
      </c>
      <c r="G14" s="196">
        <f t="shared" si="8"/>
        <v>0</v>
      </c>
      <c r="H14" s="196">
        <f t="shared" si="8"/>
        <v>10833</v>
      </c>
      <c r="I14" s="196">
        <f t="shared" si="8"/>
        <v>4267.2000000000016</v>
      </c>
      <c r="J14" s="196">
        <f t="shared" si="8"/>
        <v>33610.200000000004</v>
      </c>
      <c r="K14" s="196">
        <f t="shared" si="8"/>
        <v>7375</v>
      </c>
      <c r="L14" s="196">
        <f t="shared" si="8"/>
        <v>26235.200000000004</v>
      </c>
      <c r="M14" s="169">
        <f t="shared" si="8"/>
        <v>26235.001727684081</v>
      </c>
      <c r="N14" s="169" t="s">
        <v>73</v>
      </c>
      <c r="O14" s="58"/>
      <c r="P14" s="190" t="s">
        <v>0</v>
      </c>
      <c r="Q14" s="189" t="s">
        <v>69</v>
      </c>
      <c r="R14" s="189"/>
      <c r="S14" s="189"/>
      <c r="T14" s="189"/>
      <c r="U14" s="189"/>
    </row>
    <row r="15" spans="1:23" ht="15" customHeight="1" thickBot="1" x14ac:dyDescent="0.5">
      <c r="A15" s="166"/>
      <c r="B15" s="168"/>
      <c r="C15" s="170"/>
      <c r="D15" s="197"/>
      <c r="E15" s="197"/>
      <c r="F15" s="197"/>
      <c r="G15" s="197"/>
      <c r="H15" s="197"/>
      <c r="I15" s="197"/>
      <c r="J15" s="197"/>
      <c r="K15" s="197"/>
      <c r="L15" s="197"/>
      <c r="M15" s="169"/>
      <c r="N15" s="169"/>
      <c r="O15" s="58"/>
      <c r="P15" s="190"/>
      <c r="Q15" s="189" t="s">
        <v>1</v>
      </c>
      <c r="R15" s="189"/>
      <c r="S15" s="189" t="s">
        <v>103</v>
      </c>
      <c r="T15" s="189"/>
      <c r="U15" s="189"/>
    </row>
    <row r="16" spans="1:23" ht="15.5" x14ac:dyDescent="0.35">
      <c r="L16" s="10"/>
      <c r="M16" s="18" t="s">
        <v>12</v>
      </c>
      <c r="N16" s="54">
        <f>-M14</f>
        <v>-26235.001727684081</v>
      </c>
      <c r="O16" s="56"/>
      <c r="P16" s="2">
        <v>1</v>
      </c>
      <c r="Q16" s="185" t="s">
        <v>6</v>
      </c>
      <c r="R16" s="185"/>
      <c r="S16" s="190">
        <f>810</f>
        <v>810</v>
      </c>
      <c r="T16" s="190"/>
      <c r="U16" s="190"/>
    </row>
    <row r="17" spans="2:21" ht="15.5" x14ac:dyDescent="0.35">
      <c r="B17" s="7" t="s">
        <v>53</v>
      </c>
      <c r="J17" s="23"/>
      <c r="K17" s="23"/>
      <c r="M17" s="18" t="s">
        <v>2</v>
      </c>
      <c r="N17" s="18">
        <f>C2</f>
        <v>3400</v>
      </c>
      <c r="O17" s="57"/>
      <c r="P17" s="2">
        <v>2</v>
      </c>
      <c r="Q17" s="185" t="s">
        <v>11</v>
      </c>
      <c r="R17" s="185"/>
      <c r="S17" s="190">
        <f>200+50+300</f>
        <v>550</v>
      </c>
      <c r="T17" s="190"/>
      <c r="U17" s="190"/>
    </row>
    <row r="18" spans="2:21" ht="15.5" x14ac:dyDescent="0.35">
      <c r="B18" s="7" t="s">
        <v>109</v>
      </c>
      <c r="J18" s="22"/>
      <c r="K18" s="31"/>
      <c r="M18" s="18" t="s">
        <v>3</v>
      </c>
      <c r="N18" s="18">
        <f>D2</f>
        <v>12000</v>
      </c>
      <c r="O18" s="57"/>
      <c r="P18" s="2">
        <v>3</v>
      </c>
      <c r="Q18" s="185" t="s">
        <v>38</v>
      </c>
      <c r="R18" s="185"/>
      <c r="S18" s="194">
        <v>0</v>
      </c>
      <c r="T18" s="195"/>
      <c r="U18" s="195"/>
    </row>
    <row r="19" spans="2:21" ht="15.5" x14ac:dyDescent="0.35">
      <c r="B19" t="s">
        <v>110</v>
      </c>
      <c r="M19" s="18" t="s">
        <v>19</v>
      </c>
      <c r="N19" s="18">
        <f>E2</f>
        <v>2300</v>
      </c>
      <c r="O19" s="57"/>
      <c r="P19" s="2">
        <v>4</v>
      </c>
      <c r="Q19" s="185" t="s">
        <v>8</v>
      </c>
      <c r="R19" s="185"/>
      <c r="S19" s="190">
        <f>300+160+130</f>
        <v>590</v>
      </c>
      <c r="T19" s="190"/>
      <c r="U19" s="190"/>
    </row>
    <row r="20" spans="2:21" ht="15.5" x14ac:dyDescent="0.35">
      <c r="M20" s="18" t="s">
        <v>13</v>
      </c>
      <c r="N20" s="60">
        <f>F2</f>
        <v>810</v>
      </c>
      <c r="O20" s="57"/>
      <c r="P20" s="2">
        <v>5</v>
      </c>
      <c r="Q20" s="185" t="s">
        <v>14</v>
      </c>
      <c r="R20" s="185"/>
      <c r="S20" s="190">
        <f>0</f>
        <v>0</v>
      </c>
      <c r="T20" s="190"/>
      <c r="U20" s="190"/>
    </row>
    <row r="21" spans="2:21" ht="15.5" x14ac:dyDescent="0.35">
      <c r="B21" s="7"/>
      <c r="M21" s="18" t="s">
        <v>4</v>
      </c>
      <c r="N21" s="18">
        <f>G2</f>
        <v>0</v>
      </c>
      <c r="O21" s="57"/>
      <c r="P21" s="2">
        <v>6</v>
      </c>
      <c r="Q21" s="185" t="s">
        <v>7</v>
      </c>
      <c r="R21" s="185"/>
      <c r="S21" s="190">
        <v>1100</v>
      </c>
      <c r="T21" s="190"/>
      <c r="U21" s="190"/>
    </row>
    <row r="22" spans="2:21" ht="15.5" x14ac:dyDescent="0.35">
      <c r="B22" s="7"/>
      <c r="M22" s="18" t="s">
        <v>105</v>
      </c>
      <c r="N22" s="18">
        <f>S27</f>
        <v>3458</v>
      </c>
      <c r="O22" s="57"/>
      <c r="P22" s="2">
        <v>7</v>
      </c>
      <c r="Q22" s="185" t="s">
        <v>9</v>
      </c>
      <c r="R22" s="185"/>
      <c r="S22" s="190">
        <f>105+45+45+55</f>
        <v>250</v>
      </c>
      <c r="T22" s="190"/>
      <c r="U22" s="190"/>
    </row>
    <row r="23" spans="2:21" ht="15.5" x14ac:dyDescent="0.35">
      <c r="B23" s="7"/>
      <c r="G23" s="186" t="s">
        <v>108</v>
      </c>
      <c r="H23" s="186"/>
      <c r="I23" s="186"/>
      <c r="J23" s="186"/>
      <c r="K23" s="186"/>
      <c r="L23" s="187"/>
      <c r="M23" s="18" t="s">
        <v>107</v>
      </c>
      <c r="N23" s="18">
        <v>4267</v>
      </c>
      <c r="O23" s="57"/>
      <c r="P23" s="2">
        <v>8</v>
      </c>
      <c r="Q23" s="191" t="s">
        <v>101</v>
      </c>
      <c r="R23" s="192"/>
      <c r="S23" s="190">
        <f>100+105+330+300+95+416+75+70+105+105+120+80+250</f>
        <v>2151</v>
      </c>
      <c r="T23" s="190"/>
      <c r="U23" s="190"/>
    </row>
    <row r="24" spans="2:21" ht="15.5" x14ac:dyDescent="0.35">
      <c r="B24" s="7"/>
      <c r="M24" s="18"/>
      <c r="N24" s="18"/>
      <c r="O24" s="57"/>
      <c r="P24" s="2">
        <v>9</v>
      </c>
      <c r="Q24" s="191" t="s">
        <v>102</v>
      </c>
      <c r="R24" s="192"/>
      <c r="S24" s="190">
        <f>1035+627+262</f>
        <v>1924</v>
      </c>
      <c r="T24" s="190"/>
      <c r="U24" s="190"/>
    </row>
    <row r="25" spans="2:21" ht="15.5" x14ac:dyDescent="0.35">
      <c r="B25" s="7"/>
      <c r="M25" s="18"/>
      <c r="N25" s="18"/>
      <c r="O25" s="57"/>
      <c r="P25" s="2"/>
      <c r="Q25" s="190"/>
      <c r="R25" s="190"/>
      <c r="S25" s="190"/>
      <c r="T25" s="190"/>
      <c r="U25" s="190"/>
    </row>
    <row r="26" spans="2:21" ht="15.5" x14ac:dyDescent="0.35">
      <c r="B26" s="7"/>
      <c r="M26" s="18" t="s">
        <v>74</v>
      </c>
      <c r="N26" s="54">
        <f>SUM(N16:N23)</f>
        <v>-1.7276840808335692E-3</v>
      </c>
      <c r="O26" s="56"/>
      <c r="P26" s="2"/>
      <c r="Q26" s="188" t="s">
        <v>71</v>
      </c>
      <c r="R26" s="188"/>
      <c r="S26" s="190">
        <f>SUM(S16:U24)</f>
        <v>7375</v>
      </c>
      <c r="T26" s="190"/>
      <c r="U26" s="190"/>
    </row>
    <row r="27" spans="2:21" ht="15.5" x14ac:dyDescent="0.35">
      <c r="P27" s="2"/>
      <c r="Q27" s="188" t="s">
        <v>70</v>
      </c>
      <c r="R27" s="188"/>
      <c r="S27" s="190">
        <f>2478+980</f>
        <v>3458</v>
      </c>
      <c r="T27" s="190"/>
      <c r="U27" s="190"/>
    </row>
    <row r="28" spans="2:21" ht="15.5" x14ac:dyDescent="0.35">
      <c r="P28" s="2"/>
      <c r="Q28" s="189" t="s">
        <v>104</v>
      </c>
      <c r="R28" s="189"/>
      <c r="S28" s="193">
        <f>SUM(S26:U27)</f>
        <v>10833</v>
      </c>
      <c r="T28" s="193"/>
      <c r="U28" s="193"/>
    </row>
  </sheetData>
  <mergeCells count="45">
    <mergeCell ref="J14:J15"/>
    <mergeCell ref="K14:K15"/>
    <mergeCell ref="L14:L15"/>
    <mergeCell ref="F14:F15"/>
    <mergeCell ref="G14:G15"/>
    <mergeCell ref="H14:H15"/>
    <mergeCell ref="I14:I15"/>
    <mergeCell ref="A14:A15"/>
    <mergeCell ref="B14:B15"/>
    <mergeCell ref="C14:C15"/>
    <mergeCell ref="D14:D15"/>
    <mergeCell ref="E14:E15"/>
    <mergeCell ref="Q14:U14"/>
    <mergeCell ref="M14:M15"/>
    <mergeCell ref="N14:N15"/>
    <mergeCell ref="Q15:R15"/>
    <mergeCell ref="S15:U15"/>
    <mergeCell ref="P14:P15"/>
    <mergeCell ref="Q16:R16"/>
    <mergeCell ref="Q18:R18"/>
    <mergeCell ref="Q19:R19"/>
    <mergeCell ref="Q20:R20"/>
    <mergeCell ref="Q21:R21"/>
    <mergeCell ref="Q17:R17"/>
    <mergeCell ref="S16:U16"/>
    <mergeCell ref="S17:U17"/>
    <mergeCell ref="S24:U24"/>
    <mergeCell ref="S19:U19"/>
    <mergeCell ref="S20:U20"/>
    <mergeCell ref="S18:U18"/>
    <mergeCell ref="S21:U21"/>
    <mergeCell ref="S22:U22"/>
    <mergeCell ref="S25:U25"/>
    <mergeCell ref="S26:U26"/>
    <mergeCell ref="S27:U27"/>
    <mergeCell ref="S28:U28"/>
    <mergeCell ref="S23:U23"/>
    <mergeCell ref="Q22:R22"/>
    <mergeCell ref="G23:L23"/>
    <mergeCell ref="Q27:R27"/>
    <mergeCell ref="Q28:R28"/>
    <mergeCell ref="Q25:R25"/>
    <mergeCell ref="Q26:R26"/>
    <mergeCell ref="Q24:R24"/>
    <mergeCell ref="Q23:R23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A586-98E4-4A52-9A90-BB50B96EF366}">
  <dimension ref="A1:X38"/>
  <sheetViews>
    <sheetView zoomScale="60" zoomScaleNormal="60" workbookViewId="0">
      <selection activeCell="I30" sqref="I30"/>
    </sheetView>
  </sheetViews>
  <sheetFormatPr defaultRowHeight="14.5" x14ac:dyDescent="0.35"/>
  <cols>
    <col min="1" max="1" width="4.6328125" style="7" bestFit="1" customWidth="1"/>
    <col min="2" max="2" width="11" bestFit="1" customWidth="1"/>
    <col min="3" max="3" width="11.81640625" bestFit="1" customWidth="1"/>
    <col min="4" max="4" width="8.08984375" bestFit="1" customWidth="1"/>
    <col min="5" max="5" width="6.7265625" bestFit="1" customWidth="1"/>
    <col min="6" max="6" width="7.453125" customWidth="1"/>
    <col min="7" max="7" width="7.7265625" bestFit="1" customWidth="1"/>
    <col min="8" max="8" width="8.08984375" style="7" bestFit="1" customWidth="1"/>
    <col min="9" max="9" width="15.36328125" style="7" customWidth="1"/>
    <col min="10" max="10" width="9.90625" customWidth="1"/>
    <col min="11" max="11" width="10.08984375" style="7" customWidth="1"/>
    <col min="12" max="12" width="8.81640625" customWidth="1"/>
    <col min="13" max="13" width="12.90625" bestFit="1" customWidth="1"/>
    <col min="14" max="14" width="8.7265625" style="7"/>
    <col min="15" max="15" width="3.6328125" customWidth="1"/>
    <col min="16" max="16" width="4.7265625" customWidth="1"/>
    <col min="17" max="17" width="20.1796875" customWidth="1"/>
    <col min="18" max="18" width="18.7265625" customWidth="1"/>
    <col min="19" max="19" width="12.7265625" bestFit="1" customWidth="1"/>
    <col min="21" max="21" width="12.81640625" bestFit="1" customWidth="1"/>
    <col min="22" max="22" width="12.08984375" customWidth="1"/>
  </cols>
  <sheetData>
    <row r="1" spans="1:24" ht="30" customHeigh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19</v>
      </c>
      <c r="F1" s="25" t="s">
        <v>13</v>
      </c>
      <c r="G1" s="25" t="s">
        <v>4</v>
      </c>
      <c r="H1" s="26" t="s">
        <v>25</v>
      </c>
      <c r="I1" s="26" t="s">
        <v>21</v>
      </c>
      <c r="J1" s="25" t="s">
        <v>23</v>
      </c>
      <c r="K1" s="26" t="s">
        <v>33</v>
      </c>
      <c r="L1" s="27" t="s">
        <v>24</v>
      </c>
      <c r="N1" s="7" t="s">
        <v>124</v>
      </c>
      <c r="R1" s="1" t="s">
        <v>2</v>
      </c>
      <c r="S1" s="1" t="s">
        <v>3</v>
      </c>
      <c r="T1" s="1" t="s">
        <v>19</v>
      </c>
      <c r="U1" s="1" t="s">
        <v>13</v>
      </c>
      <c r="V1" s="1" t="s">
        <v>4</v>
      </c>
      <c r="W1" s="13" t="s">
        <v>5</v>
      </c>
      <c r="X1" s="13" t="s">
        <v>21</v>
      </c>
    </row>
    <row r="2" spans="1:24" ht="18.5" x14ac:dyDescent="0.45">
      <c r="A2" s="28"/>
      <c r="B2" s="16"/>
      <c r="C2" s="17">
        <v>3400</v>
      </c>
      <c r="D2" s="17">
        <v>18000</v>
      </c>
      <c r="E2" s="17">
        <v>3000</v>
      </c>
      <c r="F2" s="17">
        <v>500</v>
      </c>
      <c r="G2" s="17">
        <v>1179</v>
      </c>
      <c r="H2" s="19">
        <f>R38</f>
        <v>23130</v>
      </c>
      <c r="I2" s="19">
        <v>0</v>
      </c>
      <c r="J2" s="17">
        <f>SUM(C2:I2)</f>
        <v>49209</v>
      </c>
      <c r="K2" s="43">
        <f>K19</f>
        <v>19643</v>
      </c>
      <c r="L2" s="32">
        <f>J2-K2</f>
        <v>29566</v>
      </c>
      <c r="R2" s="68">
        <v>13</v>
      </c>
      <c r="S2" s="68">
        <v>13</v>
      </c>
      <c r="T2" s="68">
        <v>10</v>
      </c>
      <c r="U2" s="68">
        <v>10</v>
      </c>
      <c r="V2" s="68">
        <v>10</v>
      </c>
      <c r="W2" s="68">
        <v>10</v>
      </c>
      <c r="X2" s="68">
        <v>10</v>
      </c>
    </row>
    <row r="3" spans="1:24" ht="18.5" x14ac:dyDescent="0.45">
      <c r="A3" s="28"/>
      <c r="B3" s="16"/>
      <c r="C3" s="20"/>
      <c r="D3" s="20"/>
      <c r="E3" s="18"/>
      <c r="F3" s="18"/>
      <c r="G3" s="18"/>
      <c r="H3" s="21"/>
      <c r="I3" s="21"/>
      <c r="J3" s="18"/>
      <c r="K3" s="21"/>
      <c r="L3" s="32"/>
      <c r="O3" s="15"/>
    </row>
    <row r="4" spans="1:24" ht="18.5" x14ac:dyDescent="0.45">
      <c r="A4" s="29">
        <v>1</v>
      </c>
      <c r="B4" s="2" t="s">
        <v>6</v>
      </c>
      <c r="C4" s="4">
        <f t="shared" ref="C4:C16" si="0">$C$2/$R$2</f>
        <v>261.53846153846155</v>
      </c>
      <c r="D4" s="4">
        <f>$D$2/$S$2</f>
        <v>1384.6153846153845</v>
      </c>
      <c r="E4" s="4">
        <f>$E$2/$T$2</f>
        <v>300</v>
      </c>
      <c r="F4" s="4">
        <f>$F$2/$U$2</f>
        <v>50</v>
      </c>
      <c r="G4" s="4">
        <f>$G$2/$V$2</f>
        <v>117.9</v>
      </c>
      <c r="H4" s="9">
        <f>$H$2/$W$2</f>
        <v>2313</v>
      </c>
      <c r="I4" s="9">
        <v>0</v>
      </c>
      <c r="J4" s="4">
        <f t="shared" ref="J4:J16" si="1">SUM(C4:I4)</f>
        <v>4427.0538461538463</v>
      </c>
      <c r="K4" s="8">
        <f>R21</f>
        <v>11896</v>
      </c>
      <c r="L4" s="32">
        <f>J4-K4</f>
        <v>-7468.9461538461537</v>
      </c>
      <c r="M4" s="10">
        <f>L4</f>
        <v>-7468.9461538461537</v>
      </c>
      <c r="N4" s="82"/>
      <c r="O4" s="15"/>
      <c r="R4" s="2"/>
      <c r="S4" s="1" t="s">
        <v>17</v>
      </c>
    </row>
    <row r="5" spans="1:24" ht="18.5" x14ac:dyDescent="0.45">
      <c r="A5" s="29">
        <v>2</v>
      </c>
      <c r="B5" s="2" t="s">
        <v>11</v>
      </c>
      <c r="C5" s="4">
        <f t="shared" si="0"/>
        <v>261.53846153846155</v>
      </c>
      <c r="D5" s="4">
        <f t="shared" ref="D5:D16" si="2">$D$2/$S$2</f>
        <v>1384.6153846153845</v>
      </c>
      <c r="E5" s="4">
        <v>0</v>
      </c>
      <c r="F5" s="4">
        <v>0</v>
      </c>
      <c r="G5" s="4">
        <v>0</v>
      </c>
      <c r="H5" s="9">
        <v>0</v>
      </c>
      <c r="I5" s="9">
        <v>0</v>
      </c>
      <c r="J5" s="4">
        <f t="shared" si="1"/>
        <v>1646.1538461538462</v>
      </c>
      <c r="K5" s="8">
        <f t="shared" ref="K5:K16" si="3">R22</f>
        <v>0</v>
      </c>
      <c r="L5" s="32">
        <f t="shared" ref="L5:L15" si="4">J5-K5</f>
        <v>1646.1538461538462</v>
      </c>
      <c r="M5" s="74">
        <f t="shared" ref="M5:M16" si="5">L5</f>
        <v>1646.1538461538462</v>
      </c>
      <c r="N5" s="83">
        <v>1646</v>
      </c>
      <c r="O5" s="15"/>
      <c r="R5" s="2" t="s">
        <v>121</v>
      </c>
      <c r="S5" s="2"/>
    </row>
    <row r="6" spans="1:24" ht="18.5" x14ac:dyDescent="0.45">
      <c r="A6" s="29">
        <v>3</v>
      </c>
      <c r="B6" s="2" t="s">
        <v>38</v>
      </c>
      <c r="C6" s="4">
        <f t="shared" si="0"/>
        <v>261.53846153846155</v>
      </c>
      <c r="D6" s="4">
        <f t="shared" si="2"/>
        <v>1384.6153846153845</v>
      </c>
      <c r="E6" s="4">
        <f>$E$2/$T$2</f>
        <v>300</v>
      </c>
      <c r="F6" s="4">
        <f>$F$2/$U$2</f>
        <v>50</v>
      </c>
      <c r="G6" s="4">
        <f>$G$2/$V$2</f>
        <v>117.9</v>
      </c>
      <c r="H6" s="9">
        <f>$H$2/$W$2</f>
        <v>2313</v>
      </c>
      <c r="I6" s="9">
        <v>0</v>
      </c>
      <c r="J6" s="4">
        <f t="shared" si="1"/>
        <v>4427.0538461538463</v>
      </c>
      <c r="K6" s="8">
        <f t="shared" si="3"/>
        <v>750</v>
      </c>
      <c r="L6" s="32">
        <f t="shared" si="4"/>
        <v>3677.0538461538463</v>
      </c>
      <c r="M6" s="74">
        <f>L6</f>
        <v>3677.0538461538463</v>
      </c>
      <c r="N6" s="83">
        <v>3677</v>
      </c>
      <c r="O6" s="39"/>
    </row>
    <row r="7" spans="1:24" ht="18.5" x14ac:dyDescent="0.45">
      <c r="A7" s="29">
        <v>4</v>
      </c>
      <c r="B7" s="2" t="s">
        <v>111</v>
      </c>
      <c r="C7" s="4">
        <f t="shared" si="0"/>
        <v>261.53846153846155</v>
      </c>
      <c r="D7" s="4">
        <f t="shared" si="2"/>
        <v>1384.6153846153845</v>
      </c>
      <c r="E7" s="4">
        <f>$E$2/$T$2</f>
        <v>300</v>
      </c>
      <c r="F7" s="4">
        <f>$F$2/$U$2</f>
        <v>50</v>
      </c>
      <c r="G7" s="4">
        <f>$G$2/$V$2</f>
        <v>117.9</v>
      </c>
      <c r="H7" s="9">
        <f>$H$2/$W$2</f>
        <v>2313</v>
      </c>
      <c r="I7" s="9">
        <v>0</v>
      </c>
      <c r="J7" s="4">
        <f t="shared" si="1"/>
        <v>4427.0538461538463</v>
      </c>
      <c r="K7" s="8">
        <f t="shared" si="3"/>
        <v>2410</v>
      </c>
      <c r="L7" s="32">
        <f>J7-K7</f>
        <v>2017.0538461538463</v>
      </c>
      <c r="M7" s="74">
        <f t="shared" si="5"/>
        <v>2017.0538461538463</v>
      </c>
      <c r="N7" s="83">
        <v>2017</v>
      </c>
      <c r="O7" s="39"/>
      <c r="Q7" s="15"/>
      <c r="R7" s="15"/>
      <c r="S7" s="15"/>
      <c r="T7" s="15"/>
    </row>
    <row r="8" spans="1:24" ht="18.5" x14ac:dyDescent="0.45">
      <c r="A8" s="63">
        <v>5</v>
      </c>
      <c r="B8" s="64" t="s">
        <v>8</v>
      </c>
      <c r="C8" s="4">
        <f t="shared" si="0"/>
        <v>261.53846153846155</v>
      </c>
      <c r="D8" s="4">
        <f t="shared" si="2"/>
        <v>1384.6153846153845</v>
      </c>
      <c r="E8" s="4">
        <f>$E$2/$T$2</f>
        <v>300</v>
      </c>
      <c r="F8" s="4">
        <f>$F$2/$U$2</f>
        <v>50</v>
      </c>
      <c r="G8" s="4">
        <f>$G$2/$V$2</f>
        <v>117.9</v>
      </c>
      <c r="H8" s="9">
        <f>$H$2/$W$2</f>
        <v>2313</v>
      </c>
      <c r="I8" s="66">
        <v>0</v>
      </c>
      <c r="J8" s="65">
        <f t="shared" si="1"/>
        <v>4427.0538461538463</v>
      </c>
      <c r="K8" s="65">
        <f t="shared" si="3"/>
        <v>20</v>
      </c>
      <c r="L8" s="67">
        <f t="shared" si="4"/>
        <v>4407.0538461538463</v>
      </c>
      <c r="M8" s="74">
        <f t="shared" si="5"/>
        <v>4407.0538461538463</v>
      </c>
      <c r="N8" s="82"/>
      <c r="O8" s="15"/>
      <c r="Q8" s="15"/>
      <c r="R8" s="15"/>
      <c r="S8" s="15"/>
      <c r="T8" s="15"/>
    </row>
    <row r="9" spans="1:24" ht="18.5" x14ac:dyDescent="0.45">
      <c r="A9" s="29">
        <v>6</v>
      </c>
      <c r="B9" s="2" t="s">
        <v>14</v>
      </c>
      <c r="C9" s="79">
        <f t="shared" si="0"/>
        <v>261.53846153846155</v>
      </c>
      <c r="D9" s="4">
        <f t="shared" si="2"/>
        <v>1384.6153846153845</v>
      </c>
      <c r="E9" s="4">
        <v>0</v>
      </c>
      <c r="F9" s="4">
        <v>0</v>
      </c>
      <c r="G9" s="4">
        <v>0</v>
      </c>
      <c r="H9" s="9">
        <v>0</v>
      </c>
      <c r="I9" s="9">
        <v>0</v>
      </c>
      <c r="J9" s="4">
        <f t="shared" si="1"/>
        <v>1646.1538461538462</v>
      </c>
      <c r="K9" s="8">
        <f t="shared" si="3"/>
        <v>0</v>
      </c>
      <c r="L9" s="32">
        <f t="shared" si="4"/>
        <v>1646.1538461538462</v>
      </c>
      <c r="M9" s="74">
        <f t="shared" si="5"/>
        <v>1646.1538461538462</v>
      </c>
      <c r="N9" s="83">
        <v>1646</v>
      </c>
      <c r="O9" s="74"/>
      <c r="R9" s="15"/>
      <c r="S9" s="77"/>
      <c r="T9" s="15"/>
    </row>
    <row r="10" spans="1:24" ht="18.5" x14ac:dyDescent="0.45">
      <c r="A10" s="29">
        <v>7</v>
      </c>
      <c r="B10" s="2" t="s">
        <v>7</v>
      </c>
      <c r="C10" s="4">
        <f t="shared" si="0"/>
        <v>261.53846153846155</v>
      </c>
      <c r="D10" s="4">
        <f t="shared" si="2"/>
        <v>1384.6153846153845</v>
      </c>
      <c r="E10" s="4">
        <v>0</v>
      </c>
      <c r="F10" s="4">
        <v>0</v>
      </c>
      <c r="G10" s="4">
        <v>0</v>
      </c>
      <c r="H10" s="9">
        <v>0</v>
      </c>
      <c r="I10" s="9">
        <v>0</v>
      </c>
      <c r="J10" s="4">
        <f t="shared" si="1"/>
        <v>1646.1538461538462</v>
      </c>
      <c r="K10" s="8">
        <v>2200</v>
      </c>
      <c r="L10" s="32">
        <f t="shared" si="4"/>
        <v>-553.84615384615381</v>
      </c>
      <c r="M10" s="74">
        <f t="shared" si="5"/>
        <v>-553.84615384615381</v>
      </c>
      <c r="N10" s="83"/>
      <c r="O10" s="74"/>
      <c r="Q10" s="15"/>
      <c r="R10" s="15"/>
      <c r="S10" s="77"/>
      <c r="T10" s="15"/>
    </row>
    <row r="11" spans="1:24" ht="18.5" x14ac:dyDescent="0.45">
      <c r="A11" s="63">
        <v>8</v>
      </c>
      <c r="B11" s="64" t="s">
        <v>9</v>
      </c>
      <c r="C11" s="79">
        <f t="shared" si="0"/>
        <v>261.53846153846155</v>
      </c>
      <c r="D11" s="4">
        <f t="shared" si="2"/>
        <v>1384.6153846153845</v>
      </c>
      <c r="E11" s="4">
        <f t="shared" ref="E11:E16" si="6">$E$2/$T$2</f>
        <v>300</v>
      </c>
      <c r="F11" s="4">
        <f t="shared" ref="F11:F16" si="7">$F$2/$U$2</f>
        <v>50</v>
      </c>
      <c r="G11" s="4">
        <f t="shared" ref="G11:G16" si="8">$G$2/$V$2</f>
        <v>117.9</v>
      </c>
      <c r="H11" s="9">
        <f t="shared" ref="H11:H16" si="9">$H$2/$W$2</f>
        <v>2313</v>
      </c>
      <c r="I11" s="66">
        <v>0</v>
      </c>
      <c r="J11" s="65">
        <f t="shared" si="1"/>
        <v>4427.0538461538463</v>
      </c>
      <c r="K11" s="65">
        <f t="shared" si="3"/>
        <v>0</v>
      </c>
      <c r="L11" s="67">
        <f t="shared" si="4"/>
        <v>4427.0538461538463</v>
      </c>
      <c r="M11" s="74">
        <f t="shared" si="5"/>
        <v>4427.0538461538463</v>
      </c>
      <c r="N11" s="83">
        <v>4427</v>
      </c>
      <c r="O11" s="10"/>
      <c r="Q11" s="15"/>
      <c r="R11" s="15"/>
      <c r="S11" s="15"/>
      <c r="T11" s="15"/>
    </row>
    <row r="12" spans="1:24" ht="18.5" x14ac:dyDescent="0.45">
      <c r="A12" s="63">
        <v>9</v>
      </c>
      <c r="B12" s="64" t="s">
        <v>101</v>
      </c>
      <c r="C12" s="79">
        <f t="shared" si="0"/>
        <v>261.53846153846155</v>
      </c>
      <c r="D12" s="4">
        <f t="shared" si="2"/>
        <v>1384.6153846153845</v>
      </c>
      <c r="E12" s="4">
        <f t="shared" si="6"/>
        <v>300</v>
      </c>
      <c r="F12" s="4">
        <f t="shared" si="7"/>
        <v>50</v>
      </c>
      <c r="G12" s="4">
        <f t="shared" si="8"/>
        <v>117.9</v>
      </c>
      <c r="H12" s="9">
        <f t="shared" si="9"/>
        <v>2313</v>
      </c>
      <c r="I12" s="66">
        <v>0</v>
      </c>
      <c r="J12" s="65">
        <f t="shared" si="1"/>
        <v>4427.0538461538463</v>
      </c>
      <c r="K12" s="65">
        <f t="shared" si="3"/>
        <v>157</v>
      </c>
      <c r="L12" s="67">
        <f>J12-K12</f>
        <v>4270.0538461538463</v>
      </c>
      <c r="M12" s="74">
        <f t="shared" si="5"/>
        <v>4270.0538461538463</v>
      </c>
      <c r="N12" s="84">
        <v>2000</v>
      </c>
      <c r="Q12" s="15"/>
      <c r="R12" s="15"/>
      <c r="S12" s="15"/>
      <c r="T12" s="15"/>
    </row>
    <row r="13" spans="1:24" ht="18.5" x14ac:dyDescent="0.45">
      <c r="A13" s="29">
        <v>10</v>
      </c>
      <c r="B13" s="3" t="s">
        <v>102</v>
      </c>
      <c r="C13" s="6">
        <f t="shared" si="0"/>
        <v>261.53846153846155</v>
      </c>
      <c r="D13" s="4">
        <f t="shared" si="2"/>
        <v>1384.6153846153845</v>
      </c>
      <c r="E13" s="4">
        <f t="shared" si="6"/>
        <v>300</v>
      </c>
      <c r="F13" s="4">
        <f t="shared" si="7"/>
        <v>50</v>
      </c>
      <c r="G13" s="4">
        <f t="shared" si="8"/>
        <v>117.9</v>
      </c>
      <c r="H13" s="9">
        <f t="shared" si="9"/>
        <v>2313</v>
      </c>
      <c r="I13" s="9">
        <v>0</v>
      </c>
      <c r="J13" s="4">
        <f t="shared" si="1"/>
        <v>4427.0538461538463</v>
      </c>
      <c r="K13" s="8">
        <f t="shared" si="3"/>
        <v>1334</v>
      </c>
      <c r="L13" s="32">
        <f t="shared" si="4"/>
        <v>3093.0538461538463</v>
      </c>
      <c r="M13" s="74">
        <f t="shared" si="5"/>
        <v>3093.0538461538463</v>
      </c>
      <c r="N13" s="83">
        <v>3093</v>
      </c>
    </row>
    <row r="14" spans="1:24" ht="18.5" x14ac:dyDescent="0.45">
      <c r="A14" s="29">
        <v>11</v>
      </c>
      <c r="B14" s="3" t="s">
        <v>110</v>
      </c>
      <c r="C14" s="4">
        <f t="shared" si="0"/>
        <v>261.53846153846155</v>
      </c>
      <c r="D14" s="4">
        <f t="shared" si="2"/>
        <v>1384.6153846153845</v>
      </c>
      <c r="E14" s="4">
        <f t="shared" si="6"/>
        <v>300</v>
      </c>
      <c r="F14" s="4">
        <f t="shared" si="7"/>
        <v>50</v>
      </c>
      <c r="G14" s="4">
        <f t="shared" si="8"/>
        <v>117.9</v>
      </c>
      <c r="H14" s="9">
        <f t="shared" si="9"/>
        <v>2313</v>
      </c>
      <c r="I14" s="9">
        <v>0</v>
      </c>
      <c r="J14" s="4">
        <f t="shared" si="1"/>
        <v>4427.0538461538463</v>
      </c>
      <c r="K14" s="8">
        <f t="shared" si="3"/>
        <v>876</v>
      </c>
      <c r="L14" s="32">
        <f t="shared" si="4"/>
        <v>3551.0538461538463</v>
      </c>
      <c r="M14" s="74">
        <f t="shared" si="5"/>
        <v>3551.0538461538463</v>
      </c>
      <c r="N14" s="83">
        <v>3551</v>
      </c>
      <c r="O14" s="37"/>
    </row>
    <row r="15" spans="1:24" ht="18.5" x14ac:dyDescent="0.45">
      <c r="A15" s="63">
        <v>12</v>
      </c>
      <c r="B15" s="64" t="s">
        <v>112</v>
      </c>
      <c r="C15" s="79">
        <f t="shared" si="0"/>
        <v>261.53846153846155</v>
      </c>
      <c r="D15" s="4">
        <f t="shared" si="2"/>
        <v>1384.6153846153845</v>
      </c>
      <c r="E15" s="4">
        <f t="shared" si="6"/>
        <v>300</v>
      </c>
      <c r="F15" s="4">
        <f t="shared" si="7"/>
        <v>50</v>
      </c>
      <c r="G15" s="4">
        <f t="shared" si="8"/>
        <v>117.9</v>
      </c>
      <c r="H15" s="9">
        <f t="shared" si="9"/>
        <v>2313</v>
      </c>
      <c r="I15" s="66">
        <v>0</v>
      </c>
      <c r="J15" s="65">
        <f t="shared" si="1"/>
        <v>4427.0538461538463</v>
      </c>
      <c r="K15" s="65">
        <f t="shared" si="3"/>
        <v>0</v>
      </c>
      <c r="L15" s="67">
        <f t="shared" si="4"/>
        <v>4427.0538461538463</v>
      </c>
      <c r="M15" s="74">
        <f t="shared" si="5"/>
        <v>4427.0538461538463</v>
      </c>
      <c r="N15" s="84"/>
    </row>
    <row r="16" spans="1:24" ht="18.5" x14ac:dyDescent="0.45">
      <c r="A16" s="63">
        <v>13</v>
      </c>
      <c r="B16" s="64" t="s">
        <v>117</v>
      </c>
      <c r="C16" s="4">
        <f t="shared" si="0"/>
        <v>261.53846153846155</v>
      </c>
      <c r="D16" s="4">
        <f t="shared" si="2"/>
        <v>1384.6153846153845</v>
      </c>
      <c r="E16" s="4">
        <f t="shared" si="6"/>
        <v>300</v>
      </c>
      <c r="F16" s="4">
        <f t="shared" si="7"/>
        <v>50</v>
      </c>
      <c r="G16" s="4">
        <f t="shared" si="8"/>
        <v>117.9</v>
      </c>
      <c r="H16" s="9">
        <f t="shared" si="9"/>
        <v>2313</v>
      </c>
      <c r="I16" s="66">
        <v>0</v>
      </c>
      <c r="J16" s="65">
        <f t="shared" si="1"/>
        <v>4427.0538461538463</v>
      </c>
      <c r="K16" s="65">
        <f t="shared" si="3"/>
        <v>0</v>
      </c>
      <c r="L16" s="67">
        <f>J16-K16</f>
        <v>4427.0538461538463</v>
      </c>
      <c r="M16" s="10">
        <f t="shared" si="5"/>
        <v>4427.0538461538463</v>
      </c>
      <c r="N16" s="84"/>
    </row>
    <row r="17" spans="1:18" ht="18.5" x14ac:dyDescent="0.45">
      <c r="A17" s="29"/>
      <c r="B17" s="3"/>
      <c r="C17" s="4"/>
      <c r="D17" s="4"/>
      <c r="E17" s="4"/>
      <c r="F17" s="4"/>
      <c r="G17" s="4"/>
      <c r="H17" s="9"/>
      <c r="I17" s="9"/>
      <c r="J17" s="4"/>
      <c r="K17" s="8"/>
      <c r="L17" s="62"/>
      <c r="M17" s="10"/>
    </row>
    <row r="18" spans="1:18" ht="18.5" x14ac:dyDescent="0.45">
      <c r="A18" s="29"/>
      <c r="B18" s="3"/>
      <c r="C18" s="4"/>
      <c r="D18" s="4"/>
      <c r="E18" s="4"/>
      <c r="F18" s="4"/>
      <c r="G18" s="4"/>
      <c r="H18" s="9"/>
      <c r="I18" s="9"/>
      <c r="J18" s="4"/>
      <c r="K18" s="8"/>
      <c r="L18" s="62"/>
      <c r="M18" s="10"/>
      <c r="N18" s="7">
        <f>SUM(N4:N16)</f>
        <v>22057</v>
      </c>
    </row>
    <row r="19" spans="1:18" ht="14.5" customHeight="1" x14ac:dyDescent="0.45">
      <c r="A19" s="165">
        <f>COUNT(A4:A16)</f>
        <v>13</v>
      </c>
      <c r="B19" s="167" t="s">
        <v>12</v>
      </c>
      <c r="C19" s="169">
        <f>SUM(C4:C16)</f>
        <v>3399.9999999999991</v>
      </c>
      <c r="D19" s="169">
        <f t="shared" ref="D19:I19" si="10">SUM(D4:D16)</f>
        <v>17999.999999999996</v>
      </c>
      <c r="E19" s="169">
        <f t="shared" si="10"/>
        <v>3000</v>
      </c>
      <c r="F19" s="169">
        <f t="shared" si="10"/>
        <v>500</v>
      </c>
      <c r="G19" s="169">
        <f>SUM(G4:G16)</f>
        <v>1179</v>
      </c>
      <c r="H19" s="169">
        <f>SUM(H4:H16)</f>
        <v>23130</v>
      </c>
      <c r="I19" s="169">
        <f t="shared" si="10"/>
        <v>0</v>
      </c>
      <c r="J19" s="169">
        <f>SUM(J4:J16)</f>
        <v>49209</v>
      </c>
      <c r="K19" s="169">
        <f>SUM(K4:K16)</f>
        <v>19643</v>
      </c>
      <c r="L19" s="169">
        <f>SUM(L4:L16)</f>
        <v>29565.999999999996</v>
      </c>
      <c r="M19" s="169">
        <f>SUM(M4:M16)</f>
        <v>29565.999999999996</v>
      </c>
      <c r="N19" s="198" t="s">
        <v>73</v>
      </c>
      <c r="O19" s="58"/>
      <c r="P19" s="190" t="s">
        <v>0</v>
      </c>
      <c r="Q19" s="189" t="s">
        <v>69</v>
      </c>
      <c r="R19" s="189"/>
    </row>
    <row r="20" spans="1:18" ht="15" customHeight="1" thickBot="1" x14ac:dyDescent="0.5">
      <c r="A20" s="166"/>
      <c r="B20" s="168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69"/>
      <c r="N20" s="198"/>
      <c r="O20" s="58"/>
      <c r="P20" s="190"/>
      <c r="Q20" s="70" t="s">
        <v>1</v>
      </c>
      <c r="R20" s="70" t="s">
        <v>103</v>
      </c>
    </row>
    <row r="21" spans="1:18" ht="15.5" x14ac:dyDescent="0.35">
      <c r="L21" s="10"/>
      <c r="M21" s="18" t="s">
        <v>12</v>
      </c>
      <c r="N21" s="85">
        <f>-M19</f>
        <v>-29565.999999999996</v>
      </c>
      <c r="O21" s="56"/>
      <c r="P21" s="2">
        <v>1</v>
      </c>
      <c r="Q21" s="75" t="s">
        <v>6</v>
      </c>
      <c r="R21" s="71">
        <f>150+230+425+153+219+1178+400+1018+4163+80+110+100+102+80+100+3388</f>
        <v>11896</v>
      </c>
    </row>
    <row r="22" spans="1:18" ht="15.5" x14ac:dyDescent="0.35">
      <c r="B22" s="7"/>
      <c r="J22" s="23"/>
      <c r="K22" s="23"/>
      <c r="M22" s="18" t="s">
        <v>2</v>
      </c>
      <c r="N22" s="21">
        <f>C2</f>
        <v>3400</v>
      </c>
      <c r="O22" s="57"/>
      <c r="P22" s="2">
        <v>2</v>
      </c>
      <c r="Q22" s="76" t="s">
        <v>11</v>
      </c>
      <c r="R22" s="71">
        <f>0</f>
        <v>0</v>
      </c>
    </row>
    <row r="23" spans="1:18" ht="15.5" x14ac:dyDescent="0.35">
      <c r="B23" s="7"/>
      <c r="J23" s="22"/>
      <c r="K23" s="31"/>
      <c r="M23" s="18" t="s">
        <v>3</v>
      </c>
      <c r="N23" s="21">
        <f>D2</f>
        <v>18000</v>
      </c>
      <c r="O23" s="57"/>
      <c r="P23" s="2">
        <v>3</v>
      </c>
      <c r="Q23" s="75" t="s">
        <v>38</v>
      </c>
      <c r="R23" s="71">
        <f>450+300</f>
        <v>750</v>
      </c>
    </row>
    <row r="24" spans="1:18" ht="15.5" x14ac:dyDescent="0.35">
      <c r="M24" s="18" t="s">
        <v>19</v>
      </c>
      <c r="N24" s="21">
        <f>E2</f>
        <v>3000</v>
      </c>
      <c r="O24" s="57"/>
      <c r="P24" s="2">
        <v>4</v>
      </c>
      <c r="Q24" s="75" t="s">
        <v>111</v>
      </c>
      <c r="R24" s="71">
        <f>407+59+110+260+40+233+150+165+200+90+110+200+386</f>
        <v>2410</v>
      </c>
    </row>
    <row r="25" spans="1:18" ht="15.5" x14ac:dyDescent="0.35">
      <c r="M25" s="18" t="s">
        <v>13</v>
      </c>
      <c r="N25" s="21">
        <f>F2</f>
        <v>500</v>
      </c>
      <c r="O25" s="57"/>
      <c r="P25" s="2">
        <v>5</v>
      </c>
      <c r="Q25" s="75" t="s">
        <v>8</v>
      </c>
      <c r="R25" s="71">
        <f>20</f>
        <v>20</v>
      </c>
    </row>
    <row r="26" spans="1:18" ht="15.5" x14ac:dyDescent="0.35">
      <c r="B26" s="7"/>
      <c r="M26" s="18" t="s">
        <v>4</v>
      </c>
      <c r="N26" s="21">
        <f>G2</f>
        <v>1179</v>
      </c>
      <c r="O26" s="57"/>
      <c r="P26" s="2">
        <v>6</v>
      </c>
      <c r="Q26" s="75" t="s">
        <v>14</v>
      </c>
      <c r="R26" s="71">
        <f>0</f>
        <v>0</v>
      </c>
    </row>
    <row r="27" spans="1:18" ht="15.5" x14ac:dyDescent="0.35">
      <c r="B27" s="7"/>
      <c r="M27" s="18" t="s">
        <v>123</v>
      </c>
      <c r="N27" s="21">
        <f>R37</f>
        <v>3487</v>
      </c>
      <c r="O27" s="57"/>
      <c r="P27" s="2">
        <v>7</v>
      </c>
      <c r="Q27" s="75" t="s">
        <v>7</v>
      </c>
      <c r="R27" s="71">
        <v>2200</v>
      </c>
    </row>
    <row r="28" spans="1:18" ht="15.5" x14ac:dyDescent="0.35">
      <c r="B28" s="7"/>
      <c r="M28" s="18"/>
      <c r="N28" s="21"/>
      <c r="O28" s="57"/>
      <c r="P28" s="2">
        <v>8</v>
      </c>
      <c r="Q28" s="75" t="s">
        <v>9</v>
      </c>
      <c r="R28" s="71">
        <f>0</f>
        <v>0</v>
      </c>
    </row>
    <row r="29" spans="1:18" ht="15.5" x14ac:dyDescent="0.35">
      <c r="B29" s="7"/>
      <c r="M29" s="18"/>
      <c r="N29" s="21"/>
      <c r="O29" s="57"/>
      <c r="P29" s="2">
        <v>9</v>
      </c>
      <c r="Q29" s="75" t="s">
        <v>101</v>
      </c>
      <c r="R29" s="71">
        <f>137+20</f>
        <v>157</v>
      </c>
    </row>
    <row r="30" spans="1:18" ht="15.5" x14ac:dyDescent="0.35">
      <c r="B30" s="7"/>
      <c r="M30" s="18"/>
      <c r="N30" s="21"/>
      <c r="O30" s="57"/>
      <c r="P30" s="2">
        <v>10</v>
      </c>
      <c r="Q30" s="75" t="s">
        <v>102</v>
      </c>
      <c r="R30" s="71">
        <f>634+30+138+100+30+133+170+99</f>
        <v>1334</v>
      </c>
    </row>
    <row r="31" spans="1:18" ht="15.5" x14ac:dyDescent="0.35">
      <c r="B31" s="7"/>
      <c r="M31" s="18"/>
      <c r="N31" s="21"/>
      <c r="O31" s="57"/>
      <c r="P31" s="2">
        <v>11</v>
      </c>
      <c r="Q31" s="75" t="s">
        <v>110</v>
      </c>
      <c r="R31" s="71">
        <f>261+30+60+240+60+225</f>
        <v>876</v>
      </c>
    </row>
    <row r="32" spans="1:18" ht="15.5" x14ac:dyDescent="0.35">
      <c r="B32" s="7"/>
      <c r="M32" s="18"/>
      <c r="N32" s="21"/>
      <c r="O32" s="57"/>
      <c r="P32" s="2">
        <v>12</v>
      </c>
      <c r="Q32" s="75" t="s">
        <v>112</v>
      </c>
      <c r="R32" s="71">
        <f>0</f>
        <v>0</v>
      </c>
    </row>
    <row r="33" spans="2:21" ht="15.5" x14ac:dyDescent="0.35">
      <c r="B33" s="7"/>
      <c r="M33" s="18"/>
      <c r="N33" s="21"/>
      <c r="O33" s="57"/>
      <c r="P33" s="2">
        <v>13</v>
      </c>
      <c r="Q33" s="75" t="s">
        <v>117</v>
      </c>
      <c r="R33" s="71">
        <f>0</f>
        <v>0</v>
      </c>
    </row>
    <row r="34" spans="2:21" ht="15.5" x14ac:dyDescent="0.35">
      <c r="B34" s="7"/>
      <c r="M34" s="18"/>
      <c r="N34" s="21"/>
      <c r="O34" s="57"/>
      <c r="P34" s="2"/>
      <c r="Q34" s="75"/>
      <c r="R34" s="78"/>
      <c r="T34" s="75"/>
      <c r="U34" s="78"/>
    </row>
    <row r="35" spans="2:21" ht="15.5" x14ac:dyDescent="0.35">
      <c r="B35" s="7"/>
      <c r="M35" s="18"/>
      <c r="N35" s="21"/>
      <c r="O35" s="57"/>
      <c r="P35" s="2"/>
      <c r="Q35" s="71"/>
      <c r="R35" s="71"/>
    </row>
    <row r="36" spans="2:21" ht="15.5" x14ac:dyDescent="0.35">
      <c r="B36" s="7"/>
      <c r="M36" s="18" t="s">
        <v>74</v>
      </c>
      <c r="N36" s="85">
        <f>SUM(N21:N28)</f>
        <v>3.637978807091713E-12</v>
      </c>
      <c r="O36" s="56"/>
      <c r="P36" s="2"/>
      <c r="Q36" s="73" t="s">
        <v>122</v>
      </c>
      <c r="R36" s="71">
        <f>SUM(R21:R33)</f>
        <v>19643</v>
      </c>
    </row>
    <row r="37" spans="2:21" ht="15.5" x14ac:dyDescent="0.35">
      <c r="P37" s="2"/>
      <c r="Q37" s="73" t="s">
        <v>70</v>
      </c>
      <c r="R37" s="71">
        <v>3487</v>
      </c>
    </row>
    <row r="38" spans="2:21" ht="15.5" x14ac:dyDescent="0.35">
      <c r="P38" s="2"/>
      <c r="Q38" s="70" t="s">
        <v>104</v>
      </c>
      <c r="R38" s="72">
        <f>SUM(R36:R37)</f>
        <v>23130</v>
      </c>
    </row>
  </sheetData>
  <mergeCells count="16">
    <mergeCell ref="K19:K20"/>
    <mergeCell ref="F19:F20"/>
    <mergeCell ref="G19:G20"/>
    <mergeCell ref="H19:H20"/>
    <mergeCell ref="I19:I20"/>
    <mergeCell ref="J19:J20"/>
    <mergeCell ref="A19:A20"/>
    <mergeCell ref="B19:B20"/>
    <mergeCell ref="C19:C20"/>
    <mergeCell ref="D19:D20"/>
    <mergeCell ref="E19:E20"/>
    <mergeCell ref="M19:M20"/>
    <mergeCell ref="N19:N20"/>
    <mergeCell ref="P19:P20"/>
    <mergeCell ref="Q19:R19"/>
    <mergeCell ref="L19:L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August-20222</vt:lpstr>
      <vt:lpstr>Info</vt:lpstr>
      <vt:lpstr>Advance Amount</vt:lpstr>
      <vt:lpstr>Sep-2022</vt:lpstr>
      <vt:lpstr>Oct-2022</vt:lpstr>
      <vt:lpstr>Nov-2022</vt:lpstr>
      <vt:lpstr>Dec-2022</vt:lpstr>
      <vt:lpstr>Jan-2023 </vt:lpstr>
      <vt:lpstr>Feb-2023</vt:lpstr>
      <vt:lpstr>Mar-2023</vt:lpstr>
      <vt:lpstr>Apr-2023</vt:lpstr>
      <vt:lpstr>May-2023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Vemula Mahesh</dc:creator>
  <cp:lastModifiedBy>-RS, Janardhanan</cp:lastModifiedBy>
  <dcterms:created xsi:type="dcterms:W3CDTF">2015-06-05T18:17:20Z</dcterms:created>
  <dcterms:modified xsi:type="dcterms:W3CDTF">2023-07-05T06:14:03Z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d54b24-58eb-4753-9a33-0b20dcae6e5f_Enabled">
    <vt:lpwstr>true</vt:lpwstr>
  </property>
  <property fmtid="{D5CDD505-2E9C-101B-9397-08002B2CF9AE}" pid="3" name="MSIP_Label_c7d54b24-58eb-4753-9a33-0b20dcae6e5f_SetDate">
    <vt:lpwstr>2021-12-21T02:56:33Z</vt:lpwstr>
  </property>
  <property fmtid="{D5CDD505-2E9C-101B-9397-08002B2CF9AE}" pid="4" name="MSIP_Label_c7d54b24-58eb-4753-9a33-0b20dcae6e5f_Method">
    <vt:lpwstr>Privileged</vt:lpwstr>
  </property>
  <property fmtid="{D5CDD505-2E9C-101B-9397-08002B2CF9AE}" pid="5" name="MSIP_Label_c7d54b24-58eb-4753-9a33-0b20dcae6e5f_Name">
    <vt:lpwstr>c7d54b24-58eb-4753-9a33-0b20dcae6e5f</vt:lpwstr>
  </property>
  <property fmtid="{D5CDD505-2E9C-101B-9397-08002B2CF9AE}" pid="6" name="MSIP_Label_c7d54b24-58eb-4753-9a33-0b20dcae6e5f_SiteId">
    <vt:lpwstr>48d6943f-580e-40b1-a0e1-c07fa3707873</vt:lpwstr>
  </property>
  <property fmtid="{D5CDD505-2E9C-101B-9397-08002B2CF9AE}" pid="7" name="MSIP_Label_c7d54b24-58eb-4753-9a33-0b20dcae6e5f_ActionId">
    <vt:lpwstr>a5ed1133-b6b2-4dbf-a24d-000028b56020</vt:lpwstr>
  </property>
  <property fmtid="{D5CDD505-2E9C-101B-9397-08002B2CF9AE}" pid="8" name="DLPManualFileClassification">
    <vt:lpwstr>{1A067545-A4E2-4FA1-8094-0D7902669705}</vt:lpwstr>
  </property>
  <property fmtid="{D5CDD505-2E9C-101B-9397-08002B2CF9AE}" pid="9" name="DLPManualFileClassificationLastModifiedBy">
    <vt:lpwstr>TECHMAHINDRA\VM00735055</vt:lpwstr>
  </property>
  <property fmtid="{D5CDD505-2E9C-101B-9397-08002B2CF9AE}" pid="10" name="DLPManualFileClassificationLastModificationDate">
    <vt:lpwstr>1647278184</vt:lpwstr>
  </property>
  <property fmtid="{D5CDD505-2E9C-101B-9397-08002B2CF9AE}" pid="11" name="DLPManualFileClassificationVersion">
    <vt:lpwstr>11.6.0.76</vt:lpwstr>
  </property>
</Properties>
</file>