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96" yWindow="1716" windowWidth="6816" windowHeight="4152" firstSheet="1" activeTab="3"/>
  </bookViews>
  <sheets>
    <sheet name="Sheet1" sheetId="15" r:id="rId1"/>
    <sheet name="Part-1" sheetId="16" r:id="rId2"/>
    <sheet name="Part-2" sheetId="17" r:id="rId3"/>
    <sheet name="Summary" sheetId="18" r:id="rId4"/>
  </sheets>
  <calcPr calcId="144525"/>
</workbook>
</file>

<file path=xl/calcChain.xml><?xml version="1.0" encoding="utf-8"?>
<calcChain xmlns="http://schemas.openxmlformats.org/spreadsheetml/2006/main">
  <c r="N34" i="18" l="1"/>
  <c r="O34" i="18"/>
  <c r="I184" i="16"/>
  <c r="I183" i="16"/>
  <c r="I182" i="16"/>
  <c r="I181" i="16"/>
  <c r="I180" i="16"/>
  <c r="I179" i="16"/>
  <c r="I178" i="16"/>
  <c r="I177" i="16"/>
  <c r="I176" i="16"/>
  <c r="I175" i="16"/>
  <c r="I174" i="16"/>
  <c r="I160" i="16"/>
  <c r="I159" i="16"/>
  <c r="I158" i="16"/>
  <c r="I157" i="16"/>
  <c r="I156" i="16"/>
  <c r="I155" i="16"/>
  <c r="I154" i="16"/>
  <c r="I153" i="16"/>
  <c r="I152" i="16"/>
  <c r="I151" i="16"/>
  <c r="I150" i="16"/>
  <c r="I136" i="16"/>
  <c r="I135" i="16"/>
  <c r="I134" i="16"/>
  <c r="I133" i="16"/>
  <c r="I132" i="16"/>
  <c r="I131" i="16"/>
  <c r="I130" i="16"/>
  <c r="I129" i="16"/>
  <c r="I128" i="16"/>
  <c r="I127" i="16"/>
  <c r="I126" i="16"/>
  <c r="I112" i="16"/>
  <c r="I111" i="16"/>
  <c r="I110" i="16"/>
  <c r="I109" i="16"/>
  <c r="I108" i="16"/>
  <c r="I107" i="16"/>
  <c r="I106" i="16"/>
  <c r="I105" i="16"/>
  <c r="I104" i="16"/>
  <c r="I103" i="16"/>
  <c r="I102" i="16"/>
  <c r="I89" i="16"/>
  <c r="I88" i="16"/>
  <c r="I87" i="16"/>
  <c r="I86" i="16"/>
  <c r="I85" i="16"/>
  <c r="I84" i="16"/>
  <c r="I83" i="16"/>
  <c r="I82" i="16"/>
  <c r="I81" i="16"/>
  <c r="I80" i="16"/>
  <c r="I79" i="16"/>
  <c r="I65" i="16"/>
  <c r="I64" i="16"/>
  <c r="I63" i="16"/>
  <c r="I62" i="16"/>
  <c r="I61" i="16"/>
  <c r="I60" i="16"/>
  <c r="I59" i="16"/>
  <c r="I58" i="16"/>
  <c r="I57" i="16"/>
  <c r="I56" i="16"/>
  <c r="I55" i="16"/>
  <c r="I40" i="16"/>
  <c r="I39" i="16"/>
  <c r="I38" i="16"/>
  <c r="I37" i="16"/>
  <c r="I36" i="16"/>
  <c r="I35" i="16"/>
  <c r="I34" i="16"/>
  <c r="I33" i="16"/>
  <c r="I32" i="16"/>
  <c r="I31" i="16"/>
  <c r="I30" i="16"/>
  <c r="I16" i="16"/>
  <c r="I15" i="16"/>
  <c r="I14" i="16"/>
  <c r="I13" i="16"/>
  <c r="I12" i="16"/>
  <c r="I11" i="16"/>
  <c r="I10" i="16"/>
  <c r="I9" i="16"/>
  <c r="I8" i="16"/>
  <c r="I7" i="16"/>
  <c r="I6" i="16"/>
  <c r="M30" i="18"/>
  <c r="M29" i="18"/>
  <c r="M28" i="18"/>
  <c r="M27" i="18"/>
  <c r="M26" i="18"/>
  <c r="M25" i="18"/>
  <c r="M24" i="18"/>
  <c r="M23" i="18"/>
  <c r="M22" i="18"/>
  <c r="L30" i="18"/>
  <c r="L29" i="18"/>
  <c r="L28" i="18"/>
  <c r="L27" i="18"/>
  <c r="L26" i="18"/>
  <c r="L25" i="18"/>
  <c r="L24" i="18"/>
  <c r="L23" i="18"/>
  <c r="L22" i="18"/>
  <c r="K30" i="18"/>
  <c r="K29" i="18"/>
  <c r="K28" i="18"/>
  <c r="K27" i="18"/>
  <c r="K26" i="18"/>
  <c r="K25" i="18"/>
  <c r="K24" i="18"/>
  <c r="K23" i="18"/>
  <c r="K22" i="18"/>
  <c r="J30" i="18"/>
  <c r="J29" i="18"/>
  <c r="J28" i="18"/>
  <c r="J27" i="18"/>
  <c r="J26" i="18"/>
  <c r="J25" i="18"/>
  <c r="J24" i="18"/>
  <c r="J23" i="18"/>
  <c r="J22" i="18"/>
  <c r="I30" i="18"/>
  <c r="I29" i="18"/>
  <c r="I28" i="18"/>
  <c r="I27" i="18"/>
  <c r="I26" i="18"/>
  <c r="I25" i="18"/>
  <c r="I24" i="18"/>
  <c r="I23" i="18"/>
  <c r="I22" i="18"/>
  <c r="P30" i="18"/>
  <c r="P29" i="18"/>
  <c r="P28" i="18"/>
  <c r="P27" i="18"/>
  <c r="P26" i="18"/>
  <c r="P25" i="18"/>
  <c r="P24" i="18"/>
  <c r="P23" i="18"/>
  <c r="P22" i="18"/>
  <c r="P21" i="18"/>
  <c r="O21" i="18"/>
  <c r="N21" i="18"/>
  <c r="M21" i="18"/>
  <c r="L21" i="18"/>
  <c r="K21" i="18"/>
  <c r="J21" i="18"/>
  <c r="I21" i="18"/>
  <c r="P19" i="18"/>
  <c r="O19" i="18"/>
  <c r="N19" i="18"/>
  <c r="M19" i="18"/>
  <c r="L19" i="18"/>
  <c r="K19" i="18"/>
  <c r="I19" i="18"/>
  <c r="J19" i="18"/>
  <c r="K225" i="17"/>
  <c r="K197" i="17"/>
  <c r="K169" i="17"/>
  <c r="K113" i="17"/>
  <c r="K84" i="17"/>
  <c r="K56" i="17"/>
  <c r="K28" i="17"/>
  <c r="K141" i="17"/>
  <c r="K222" i="17"/>
  <c r="K194" i="17"/>
  <c r="K166" i="17"/>
  <c r="K138" i="17"/>
  <c r="K110" i="17"/>
  <c r="K81" i="17"/>
  <c r="K53" i="17"/>
  <c r="K25" i="17"/>
  <c r="H55" i="17"/>
  <c r="H27" i="17"/>
  <c r="H24" i="17"/>
  <c r="H224" i="17"/>
  <c r="H196" i="17"/>
  <c r="H168" i="17"/>
  <c r="H140" i="17"/>
  <c r="H112" i="17"/>
  <c r="H83" i="17"/>
  <c r="H222" i="17"/>
  <c r="H194" i="17"/>
  <c r="H166" i="17"/>
  <c r="H138" i="17"/>
  <c r="H110" i="17"/>
  <c r="H81" i="17"/>
  <c r="H53" i="17"/>
  <c r="H25" i="17"/>
  <c r="H226" i="17"/>
  <c r="H223" i="17"/>
  <c r="H221" i="17"/>
  <c r="H198" i="17"/>
  <c r="H195" i="17"/>
  <c r="H193" i="17"/>
  <c r="H170" i="17"/>
  <c r="H167" i="17"/>
  <c r="H165" i="17"/>
  <c r="H142" i="17"/>
  <c r="H139" i="17"/>
  <c r="H137" i="17"/>
  <c r="H114" i="17"/>
  <c r="H111" i="17"/>
  <c r="H109" i="17"/>
  <c r="H85" i="17"/>
  <c r="H82" i="17"/>
  <c r="H80" i="17"/>
  <c r="H57" i="17"/>
  <c r="H54" i="17"/>
  <c r="H52" i="17"/>
  <c r="H29" i="17"/>
  <c r="H26" i="17"/>
  <c r="L188" i="16"/>
  <c r="L164" i="16"/>
  <c r="L140" i="16"/>
  <c r="L116" i="16"/>
  <c r="L93" i="16"/>
  <c r="L69" i="16"/>
  <c r="L44" i="16"/>
  <c r="L20" i="16"/>
  <c r="L189" i="16"/>
  <c r="L165" i="16"/>
  <c r="L141" i="16"/>
  <c r="L117" i="16"/>
  <c r="L94" i="16"/>
  <c r="L70" i="16"/>
  <c r="L45" i="16"/>
  <c r="L21" i="16"/>
  <c r="G188" i="16"/>
  <c r="G164" i="16"/>
  <c r="G140" i="16"/>
  <c r="G116" i="16"/>
  <c r="G93" i="16"/>
  <c r="G69" i="16"/>
  <c r="G44" i="16"/>
  <c r="G20" i="16"/>
  <c r="G190" i="16"/>
  <c r="G166" i="16"/>
  <c r="G142" i="16"/>
  <c r="G118" i="16"/>
  <c r="G95" i="16"/>
  <c r="G71" i="16"/>
  <c r="G46" i="16"/>
  <c r="G22" i="16"/>
  <c r="J32" i="18" l="1"/>
  <c r="P32" i="18" l="1"/>
  <c r="O32" i="18"/>
  <c r="N32" i="18"/>
  <c r="M32" i="18"/>
  <c r="L32" i="18"/>
  <c r="K32" i="18"/>
  <c r="I32" i="18"/>
  <c r="J216" i="17" l="1"/>
  <c r="F216" i="17"/>
  <c r="H216" i="17" s="1"/>
  <c r="I216" i="17" s="1"/>
  <c r="J215" i="17"/>
  <c r="F215" i="17"/>
  <c r="H215" i="17" s="1"/>
  <c r="I215" i="17" s="1"/>
  <c r="J214" i="17"/>
  <c r="F214" i="17"/>
  <c r="H214" i="17" s="1"/>
  <c r="I214" i="17" s="1"/>
  <c r="J213" i="17"/>
  <c r="F213" i="17"/>
  <c r="H213" i="17" s="1"/>
  <c r="I213" i="17" s="1"/>
  <c r="J212" i="17"/>
  <c r="F212" i="17"/>
  <c r="H212" i="17" s="1"/>
  <c r="I212" i="17" s="1"/>
  <c r="J211" i="17"/>
  <c r="F211" i="17"/>
  <c r="H211" i="17" s="1"/>
  <c r="I211" i="17" s="1"/>
  <c r="J210" i="17"/>
  <c r="K210" i="17" s="1"/>
  <c r="F210" i="17"/>
  <c r="H210" i="17" s="1"/>
  <c r="I210" i="17" s="1"/>
  <c r="J209" i="17"/>
  <c r="F209" i="17"/>
  <c r="H209" i="17" s="1"/>
  <c r="I209" i="17" s="1"/>
  <c r="J208" i="17"/>
  <c r="F208" i="17"/>
  <c r="J207" i="17"/>
  <c r="F207" i="17"/>
  <c r="H207" i="17" s="1"/>
  <c r="I207" i="17" s="1"/>
  <c r="J206" i="17"/>
  <c r="H206" i="17"/>
  <c r="I206" i="17" s="1"/>
  <c r="F206" i="17"/>
  <c r="J188" i="17"/>
  <c r="F188" i="17"/>
  <c r="H188" i="17" s="1"/>
  <c r="I188" i="17" s="1"/>
  <c r="J187" i="17"/>
  <c r="F187" i="17"/>
  <c r="H187" i="17" s="1"/>
  <c r="I187" i="17" s="1"/>
  <c r="J186" i="17"/>
  <c r="F186" i="17"/>
  <c r="J185" i="17"/>
  <c r="F185" i="17"/>
  <c r="H185" i="17" s="1"/>
  <c r="I185" i="17" s="1"/>
  <c r="J184" i="17"/>
  <c r="F184" i="17"/>
  <c r="H184" i="17" s="1"/>
  <c r="I184" i="17" s="1"/>
  <c r="J183" i="17"/>
  <c r="F183" i="17"/>
  <c r="H183" i="17" s="1"/>
  <c r="I183" i="17" s="1"/>
  <c r="J182" i="17"/>
  <c r="F182" i="17"/>
  <c r="J181" i="17"/>
  <c r="F181" i="17"/>
  <c r="H181" i="17" s="1"/>
  <c r="I181" i="17" s="1"/>
  <c r="J180" i="17"/>
  <c r="F180" i="17"/>
  <c r="H180" i="17" s="1"/>
  <c r="I180" i="17" s="1"/>
  <c r="J179" i="17"/>
  <c r="F179" i="17"/>
  <c r="H179" i="17" s="1"/>
  <c r="I179" i="17" s="1"/>
  <c r="J178" i="17"/>
  <c r="F178" i="17"/>
  <c r="J160" i="17"/>
  <c r="K160" i="17" s="1"/>
  <c r="F160" i="17"/>
  <c r="H160" i="17" s="1"/>
  <c r="I160" i="17" s="1"/>
  <c r="J159" i="17"/>
  <c r="F159" i="17"/>
  <c r="H159" i="17" s="1"/>
  <c r="I159" i="17" s="1"/>
  <c r="J158" i="17"/>
  <c r="K158" i="17" s="1"/>
  <c r="H158" i="17"/>
  <c r="I158" i="17" s="1"/>
  <c r="F158" i="17"/>
  <c r="J157" i="17"/>
  <c r="F157" i="17"/>
  <c r="H157" i="17" s="1"/>
  <c r="I157" i="17" s="1"/>
  <c r="J156" i="17"/>
  <c r="F156" i="17"/>
  <c r="H156" i="17" s="1"/>
  <c r="I156" i="17" s="1"/>
  <c r="J155" i="17"/>
  <c r="F155" i="17"/>
  <c r="H155" i="17" s="1"/>
  <c r="I155" i="17" s="1"/>
  <c r="J154" i="17"/>
  <c r="F154" i="17"/>
  <c r="H154" i="17" s="1"/>
  <c r="I154" i="17" s="1"/>
  <c r="J153" i="17"/>
  <c r="F153" i="17"/>
  <c r="H153" i="17" s="1"/>
  <c r="I153" i="17" s="1"/>
  <c r="J152" i="17"/>
  <c r="F152" i="17"/>
  <c r="H152" i="17" s="1"/>
  <c r="I152" i="17" s="1"/>
  <c r="J151" i="17"/>
  <c r="F151" i="17"/>
  <c r="J150" i="17"/>
  <c r="F150" i="17"/>
  <c r="H150" i="17" s="1"/>
  <c r="J132" i="17"/>
  <c r="F132" i="17"/>
  <c r="H132" i="17" s="1"/>
  <c r="I132" i="17" s="1"/>
  <c r="J131" i="17"/>
  <c r="F131" i="17"/>
  <c r="H131" i="17" s="1"/>
  <c r="I131" i="17" s="1"/>
  <c r="J130" i="17"/>
  <c r="F130" i="17"/>
  <c r="H130" i="17" s="1"/>
  <c r="I130" i="17" s="1"/>
  <c r="J129" i="17"/>
  <c r="F129" i="17"/>
  <c r="H129" i="17" s="1"/>
  <c r="I129" i="17" s="1"/>
  <c r="J128" i="17"/>
  <c r="K128" i="17" s="1"/>
  <c r="F128" i="17"/>
  <c r="H128" i="17" s="1"/>
  <c r="I128" i="17" s="1"/>
  <c r="J127" i="17"/>
  <c r="F127" i="17"/>
  <c r="H127" i="17" s="1"/>
  <c r="I127" i="17" s="1"/>
  <c r="J126" i="17"/>
  <c r="F126" i="17"/>
  <c r="J125" i="17"/>
  <c r="F125" i="17"/>
  <c r="H125" i="17" s="1"/>
  <c r="I125" i="17" s="1"/>
  <c r="J124" i="17"/>
  <c r="K124" i="17" s="1"/>
  <c r="F124" i="17"/>
  <c r="H124" i="17" s="1"/>
  <c r="I124" i="17" s="1"/>
  <c r="J123" i="17"/>
  <c r="F123" i="17"/>
  <c r="H123" i="17" s="1"/>
  <c r="I123" i="17" s="1"/>
  <c r="J122" i="17"/>
  <c r="K122" i="17" s="1"/>
  <c r="F122" i="17"/>
  <c r="J104" i="17"/>
  <c r="F104" i="17"/>
  <c r="H104" i="17" s="1"/>
  <c r="I104" i="17" s="1"/>
  <c r="J103" i="17"/>
  <c r="F103" i="17"/>
  <c r="H103" i="17" s="1"/>
  <c r="I103" i="17" s="1"/>
  <c r="J102" i="17"/>
  <c r="F102" i="17"/>
  <c r="H102" i="17" s="1"/>
  <c r="I102" i="17" s="1"/>
  <c r="J101" i="17"/>
  <c r="F101" i="17"/>
  <c r="H101" i="17" s="1"/>
  <c r="I101" i="17" s="1"/>
  <c r="J100" i="17"/>
  <c r="K100" i="17" s="1"/>
  <c r="H100" i="17"/>
  <c r="I100" i="17" s="1"/>
  <c r="F100" i="17"/>
  <c r="J99" i="17"/>
  <c r="F99" i="17"/>
  <c r="H99" i="17" s="1"/>
  <c r="I99" i="17" s="1"/>
  <c r="J98" i="17"/>
  <c r="K98" i="17" s="1"/>
  <c r="F98" i="17"/>
  <c r="H98" i="17" s="1"/>
  <c r="I98" i="17" s="1"/>
  <c r="J97" i="17"/>
  <c r="F97" i="17"/>
  <c r="H97" i="17" s="1"/>
  <c r="I97" i="17" s="1"/>
  <c r="J96" i="17"/>
  <c r="F96" i="17"/>
  <c r="H96" i="17" s="1"/>
  <c r="I96" i="17" s="1"/>
  <c r="J95" i="17"/>
  <c r="F95" i="17"/>
  <c r="J94" i="17"/>
  <c r="F94" i="17"/>
  <c r="H94" i="17" s="1"/>
  <c r="J75" i="17"/>
  <c r="F75" i="17"/>
  <c r="H75" i="17" s="1"/>
  <c r="I75" i="17" s="1"/>
  <c r="J74" i="17"/>
  <c r="F74" i="17"/>
  <c r="H74" i="17" s="1"/>
  <c r="I74" i="17" s="1"/>
  <c r="J73" i="17"/>
  <c r="K73" i="17" s="1"/>
  <c r="H73" i="17"/>
  <c r="I73" i="17" s="1"/>
  <c r="F73" i="17"/>
  <c r="J72" i="17"/>
  <c r="F72" i="17"/>
  <c r="H72" i="17" s="1"/>
  <c r="I72" i="17" s="1"/>
  <c r="J71" i="17"/>
  <c r="F71" i="17"/>
  <c r="H71" i="17" s="1"/>
  <c r="I71" i="17" s="1"/>
  <c r="J70" i="17"/>
  <c r="F70" i="17"/>
  <c r="H70" i="17" s="1"/>
  <c r="I70" i="17" s="1"/>
  <c r="J69" i="17"/>
  <c r="F69" i="17"/>
  <c r="H69" i="17" s="1"/>
  <c r="I69" i="17" s="1"/>
  <c r="J68" i="17"/>
  <c r="F68" i="17"/>
  <c r="H68" i="17" s="1"/>
  <c r="I68" i="17" s="1"/>
  <c r="J67" i="17"/>
  <c r="K67" i="17" s="1"/>
  <c r="H67" i="17"/>
  <c r="I67" i="17" s="1"/>
  <c r="F67" i="17"/>
  <c r="J66" i="17"/>
  <c r="F66" i="17"/>
  <c r="J65" i="17"/>
  <c r="K65" i="17" s="1"/>
  <c r="F65" i="17"/>
  <c r="H65" i="17" s="1"/>
  <c r="J47" i="17"/>
  <c r="F47" i="17"/>
  <c r="H47" i="17" s="1"/>
  <c r="I47" i="17" s="1"/>
  <c r="J46" i="17"/>
  <c r="K46" i="17" s="1"/>
  <c r="F46" i="17"/>
  <c r="H46" i="17" s="1"/>
  <c r="I46" i="17" s="1"/>
  <c r="J45" i="17"/>
  <c r="F45" i="17"/>
  <c r="K45" i="17" s="1"/>
  <c r="J44" i="17"/>
  <c r="F44" i="17"/>
  <c r="K44" i="17" s="1"/>
  <c r="J43" i="17"/>
  <c r="F43" i="17"/>
  <c r="H43" i="17" s="1"/>
  <c r="I43" i="17" s="1"/>
  <c r="J42" i="17"/>
  <c r="K42" i="17" s="1"/>
  <c r="F42" i="17"/>
  <c r="H42" i="17" s="1"/>
  <c r="I42" i="17" s="1"/>
  <c r="J41" i="17"/>
  <c r="F41" i="17"/>
  <c r="K41" i="17" s="1"/>
  <c r="J40" i="17"/>
  <c r="F40" i="17"/>
  <c r="H40" i="17" s="1"/>
  <c r="I40" i="17" s="1"/>
  <c r="J39" i="17"/>
  <c r="K39" i="17" s="1"/>
  <c r="F39" i="17"/>
  <c r="H39" i="17" s="1"/>
  <c r="I39" i="17" s="1"/>
  <c r="J38" i="17"/>
  <c r="F38" i="17"/>
  <c r="H38" i="17" s="1"/>
  <c r="I38" i="17" s="1"/>
  <c r="J37" i="17"/>
  <c r="F37" i="17"/>
  <c r="J10" i="17"/>
  <c r="J11" i="17"/>
  <c r="J12" i="17"/>
  <c r="J13" i="17"/>
  <c r="J14" i="17"/>
  <c r="J15" i="17"/>
  <c r="J16" i="17"/>
  <c r="J17" i="17"/>
  <c r="J18" i="17"/>
  <c r="J19" i="17"/>
  <c r="J9" i="17"/>
  <c r="H13" i="17"/>
  <c r="I13" i="17" s="1"/>
  <c r="F10" i="17"/>
  <c r="H10" i="17" s="1"/>
  <c r="I10" i="17" s="1"/>
  <c r="F11" i="17"/>
  <c r="H11" i="17" s="1"/>
  <c r="I11" i="17" s="1"/>
  <c r="F12" i="17"/>
  <c r="K12" i="17" s="1"/>
  <c r="F13" i="17"/>
  <c r="F14" i="17"/>
  <c r="H14" i="17" s="1"/>
  <c r="I14" i="17" s="1"/>
  <c r="F15" i="17"/>
  <c r="H15" i="17" s="1"/>
  <c r="I15" i="17" s="1"/>
  <c r="F16" i="17"/>
  <c r="K16" i="17" s="1"/>
  <c r="F17" i="17"/>
  <c r="H17" i="17" s="1"/>
  <c r="I17" i="17" s="1"/>
  <c r="F18" i="17"/>
  <c r="H18" i="17" s="1"/>
  <c r="I18" i="17" s="1"/>
  <c r="F19" i="17"/>
  <c r="H19" i="17" s="1"/>
  <c r="I19" i="17" s="1"/>
  <c r="F9" i="17"/>
  <c r="K9" i="17" s="1"/>
  <c r="K43" i="17" l="1"/>
  <c r="K131" i="17"/>
  <c r="K214" i="17"/>
  <c r="K75" i="17"/>
  <c r="K150" i="17"/>
  <c r="F161" i="17"/>
  <c r="K213" i="17"/>
  <c r="K17" i="17"/>
  <c r="K19" i="17"/>
  <c r="K15" i="17"/>
  <c r="K11" i="17"/>
  <c r="K18" i="17"/>
  <c r="K14" i="17"/>
  <c r="K13" i="17"/>
  <c r="K10" i="17"/>
  <c r="H9" i="17"/>
  <c r="H16" i="17"/>
  <c r="I16" i="17" s="1"/>
  <c r="H12" i="17"/>
  <c r="I12" i="17" s="1"/>
  <c r="F20" i="17"/>
  <c r="K182" i="17"/>
  <c r="K186" i="17"/>
  <c r="K185" i="17"/>
  <c r="K187" i="17"/>
  <c r="K180" i="17"/>
  <c r="K179" i="17"/>
  <c r="K188" i="17"/>
  <c r="K184" i="17"/>
  <c r="F189" i="17"/>
  <c r="K181" i="17"/>
  <c r="K183" i="17"/>
  <c r="K209" i="17"/>
  <c r="K206" i="17"/>
  <c r="K208" i="17"/>
  <c r="K211" i="17"/>
  <c r="F217" i="17"/>
  <c r="K207" i="17"/>
  <c r="K215" i="17"/>
  <c r="K224" i="17"/>
  <c r="K212" i="17"/>
  <c r="K216" i="17"/>
  <c r="H208" i="17"/>
  <c r="I208" i="17" s="1"/>
  <c r="I217" i="17" s="1"/>
  <c r="K178" i="17"/>
  <c r="H182" i="17"/>
  <c r="I182" i="17" s="1"/>
  <c r="H186" i="17"/>
  <c r="I186" i="17" s="1"/>
  <c r="H178" i="17"/>
  <c r="K152" i="17"/>
  <c r="K154" i="17"/>
  <c r="K156" i="17"/>
  <c r="K151" i="17"/>
  <c r="K161" i="17" s="1"/>
  <c r="N26" i="18" s="1"/>
  <c r="K155" i="17"/>
  <c r="K159" i="17"/>
  <c r="I150" i="17"/>
  <c r="H151" i="17"/>
  <c r="I151" i="17" s="1"/>
  <c r="K153" i="17"/>
  <c r="K157" i="17"/>
  <c r="K123" i="17"/>
  <c r="K132" i="17"/>
  <c r="K125" i="17"/>
  <c r="K127" i="17"/>
  <c r="F133" i="17"/>
  <c r="K126" i="17"/>
  <c r="K129" i="17"/>
  <c r="K130" i="17"/>
  <c r="H126" i="17"/>
  <c r="I126" i="17" s="1"/>
  <c r="H122" i="17"/>
  <c r="K94" i="17"/>
  <c r="K102" i="17"/>
  <c r="F105" i="17"/>
  <c r="K112" i="17" s="1"/>
  <c r="K96" i="17"/>
  <c r="K104" i="17"/>
  <c r="K95" i="17"/>
  <c r="K99" i="17"/>
  <c r="K103" i="17"/>
  <c r="I94" i="17"/>
  <c r="H95" i="17"/>
  <c r="I95" i="17" s="1"/>
  <c r="K97" i="17"/>
  <c r="K101" i="17"/>
  <c r="F76" i="17"/>
  <c r="K69" i="17"/>
  <c r="K71" i="17"/>
  <c r="K66" i="17"/>
  <c r="K70" i="17"/>
  <c r="K74" i="17"/>
  <c r="I65" i="17"/>
  <c r="H66" i="17"/>
  <c r="I66" i="17" s="1"/>
  <c r="K68" i="17"/>
  <c r="K72" i="17"/>
  <c r="K47" i="17"/>
  <c r="F48" i="17"/>
  <c r="K40" i="17"/>
  <c r="H44" i="17"/>
  <c r="I44" i="17" s="1"/>
  <c r="K38" i="17"/>
  <c r="K37" i="17"/>
  <c r="H37" i="17"/>
  <c r="H41" i="17"/>
  <c r="I41" i="17" s="1"/>
  <c r="H45" i="17"/>
  <c r="I45" i="17" s="1"/>
  <c r="J184" i="16"/>
  <c r="L184" i="16" s="1"/>
  <c r="K184" i="16"/>
  <c r="J183" i="16"/>
  <c r="L183" i="16" s="1"/>
  <c r="K183" i="16"/>
  <c r="J182" i="16"/>
  <c r="L182" i="16" s="1"/>
  <c r="K182" i="16"/>
  <c r="J181" i="16"/>
  <c r="L181" i="16" s="1"/>
  <c r="K181" i="16"/>
  <c r="J180" i="16"/>
  <c r="L180" i="16" s="1"/>
  <c r="K180" i="16"/>
  <c r="J179" i="16"/>
  <c r="L179" i="16" s="1"/>
  <c r="K179" i="16"/>
  <c r="J178" i="16"/>
  <c r="L178" i="16" s="1"/>
  <c r="K178" i="16"/>
  <c r="J177" i="16"/>
  <c r="L177" i="16" s="1"/>
  <c r="K177" i="16"/>
  <c r="J176" i="16"/>
  <c r="L176" i="16" s="1"/>
  <c r="K176" i="16"/>
  <c r="J175" i="16"/>
  <c r="L175" i="16" s="1"/>
  <c r="K175" i="16"/>
  <c r="J174" i="16"/>
  <c r="K174" i="16"/>
  <c r="J160" i="16"/>
  <c r="L160" i="16" s="1"/>
  <c r="K160" i="16"/>
  <c r="J159" i="16"/>
  <c r="L159" i="16" s="1"/>
  <c r="K159" i="16"/>
  <c r="J158" i="16"/>
  <c r="L158" i="16" s="1"/>
  <c r="K158" i="16"/>
  <c r="J157" i="16"/>
  <c r="L157" i="16" s="1"/>
  <c r="K157" i="16"/>
  <c r="J156" i="16"/>
  <c r="L156" i="16" s="1"/>
  <c r="K156" i="16"/>
  <c r="J155" i="16"/>
  <c r="L155" i="16" s="1"/>
  <c r="K155" i="16"/>
  <c r="J154" i="16"/>
  <c r="L154" i="16" s="1"/>
  <c r="K154" i="16"/>
  <c r="J153" i="16"/>
  <c r="L153" i="16" s="1"/>
  <c r="K153" i="16"/>
  <c r="J152" i="16"/>
  <c r="L152" i="16" s="1"/>
  <c r="K152" i="16"/>
  <c r="J151" i="16"/>
  <c r="L151" i="16" s="1"/>
  <c r="K151" i="16"/>
  <c r="J150" i="16"/>
  <c r="K150" i="16"/>
  <c r="J136" i="16"/>
  <c r="L136" i="16" s="1"/>
  <c r="K136" i="16"/>
  <c r="J135" i="16"/>
  <c r="L135" i="16" s="1"/>
  <c r="K135" i="16"/>
  <c r="J134" i="16"/>
  <c r="L134" i="16" s="1"/>
  <c r="K134" i="16"/>
  <c r="J133" i="16"/>
  <c r="L133" i="16" s="1"/>
  <c r="K133" i="16"/>
  <c r="J132" i="16"/>
  <c r="L132" i="16" s="1"/>
  <c r="K132" i="16"/>
  <c r="J131" i="16"/>
  <c r="L131" i="16" s="1"/>
  <c r="K131" i="16"/>
  <c r="J130" i="16"/>
  <c r="L130" i="16" s="1"/>
  <c r="K130" i="16"/>
  <c r="J129" i="16"/>
  <c r="L129" i="16" s="1"/>
  <c r="K129" i="16"/>
  <c r="J128" i="16"/>
  <c r="L128" i="16" s="1"/>
  <c r="K128" i="16"/>
  <c r="J127" i="16"/>
  <c r="L127" i="16" s="1"/>
  <c r="K127" i="16"/>
  <c r="J126" i="16"/>
  <c r="L126" i="16" s="1"/>
  <c r="K126" i="16"/>
  <c r="J112" i="16"/>
  <c r="L112" i="16" s="1"/>
  <c r="K112" i="16"/>
  <c r="J111" i="16"/>
  <c r="L111" i="16" s="1"/>
  <c r="K111" i="16"/>
  <c r="J110" i="16"/>
  <c r="L110" i="16" s="1"/>
  <c r="K110" i="16"/>
  <c r="J109" i="16"/>
  <c r="L109" i="16" s="1"/>
  <c r="K109" i="16"/>
  <c r="J108" i="16"/>
  <c r="L108" i="16" s="1"/>
  <c r="K108" i="16"/>
  <c r="J107" i="16"/>
  <c r="L107" i="16" s="1"/>
  <c r="K107" i="16"/>
  <c r="J106" i="16"/>
  <c r="L106" i="16" s="1"/>
  <c r="K106" i="16"/>
  <c r="J105" i="16"/>
  <c r="L105" i="16" s="1"/>
  <c r="K105" i="16"/>
  <c r="J104" i="16"/>
  <c r="L104" i="16" s="1"/>
  <c r="K104" i="16"/>
  <c r="J103" i="16"/>
  <c r="L103" i="16" s="1"/>
  <c r="K103" i="16"/>
  <c r="J102" i="16"/>
  <c r="L102" i="16" s="1"/>
  <c r="K102" i="16"/>
  <c r="J89" i="16"/>
  <c r="L89" i="16" s="1"/>
  <c r="K89" i="16"/>
  <c r="J88" i="16"/>
  <c r="L88" i="16" s="1"/>
  <c r="K88" i="16"/>
  <c r="J87" i="16"/>
  <c r="L87" i="16" s="1"/>
  <c r="K87" i="16"/>
  <c r="J86" i="16"/>
  <c r="L86" i="16" s="1"/>
  <c r="K86" i="16"/>
  <c r="J85" i="16"/>
  <c r="L85" i="16" s="1"/>
  <c r="K85" i="16"/>
  <c r="J84" i="16"/>
  <c r="L84" i="16" s="1"/>
  <c r="K84" i="16"/>
  <c r="J83" i="16"/>
  <c r="L83" i="16" s="1"/>
  <c r="K83" i="16"/>
  <c r="J82" i="16"/>
  <c r="L82" i="16" s="1"/>
  <c r="K82" i="16"/>
  <c r="J81" i="16"/>
  <c r="L81" i="16" s="1"/>
  <c r="K81" i="16"/>
  <c r="J80" i="16"/>
  <c r="L80" i="16" s="1"/>
  <c r="K80" i="16"/>
  <c r="J79" i="16"/>
  <c r="L79" i="16" s="1"/>
  <c r="K79" i="16"/>
  <c r="J65" i="16"/>
  <c r="L65" i="16" s="1"/>
  <c r="K65" i="16"/>
  <c r="J64" i="16"/>
  <c r="L64" i="16" s="1"/>
  <c r="K64" i="16"/>
  <c r="J63" i="16"/>
  <c r="L63" i="16" s="1"/>
  <c r="K63" i="16"/>
  <c r="J62" i="16"/>
  <c r="L62" i="16" s="1"/>
  <c r="K62" i="16"/>
  <c r="J61" i="16"/>
  <c r="L61" i="16" s="1"/>
  <c r="K61" i="16"/>
  <c r="J60" i="16"/>
  <c r="L60" i="16" s="1"/>
  <c r="K60" i="16"/>
  <c r="J59" i="16"/>
  <c r="L59" i="16" s="1"/>
  <c r="K59" i="16"/>
  <c r="J58" i="16"/>
  <c r="L58" i="16" s="1"/>
  <c r="K58" i="16"/>
  <c r="J57" i="16"/>
  <c r="L57" i="16" s="1"/>
  <c r="K57" i="16"/>
  <c r="J56" i="16"/>
  <c r="L56" i="16" s="1"/>
  <c r="K56" i="16"/>
  <c r="J55" i="16"/>
  <c r="L55" i="16" s="1"/>
  <c r="K55" i="16"/>
  <c r="J40" i="16"/>
  <c r="L40" i="16" s="1"/>
  <c r="K40" i="16"/>
  <c r="L39" i="16"/>
  <c r="J39" i="16"/>
  <c r="K39" i="16"/>
  <c r="J38" i="16"/>
  <c r="L38" i="16" s="1"/>
  <c r="K38" i="16"/>
  <c r="J37" i="16"/>
  <c r="L37" i="16" s="1"/>
  <c r="K37" i="16"/>
  <c r="J36" i="16"/>
  <c r="L36" i="16" s="1"/>
  <c r="K36" i="16"/>
  <c r="J35" i="16"/>
  <c r="L35" i="16" s="1"/>
  <c r="K35" i="16"/>
  <c r="J34" i="16"/>
  <c r="L34" i="16" s="1"/>
  <c r="K34" i="16"/>
  <c r="J33" i="16"/>
  <c r="L33" i="16" s="1"/>
  <c r="K33" i="16"/>
  <c r="J32" i="16"/>
  <c r="L32" i="16" s="1"/>
  <c r="K32" i="16"/>
  <c r="J31" i="16"/>
  <c r="L31" i="16" s="1"/>
  <c r="K31" i="16"/>
  <c r="J30" i="16"/>
  <c r="L30" i="16" s="1"/>
  <c r="K30" i="16"/>
  <c r="J7" i="16"/>
  <c r="L7" i="16" s="1"/>
  <c r="J8" i="16"/>
  <c r="L8" i="16" s="1"/>
  <c r="J9" i="16"/>
  <c r="L9" i="16" s="1"/>
  <c r="J10" i="16"/>
  <c r="L10" i="16" s="1"/>
  <c r="J11" i="16"/>
  <c r="L11" i="16" s="1"/>
  <c r="J12" i="16"/>
  <c r="L12" i="16" s="1"/>
  <c r="J13" i="16"/>
  <c r="L13" i="16" s="1"/>
  <c r="J14" i="16"/>
  <c r="L14" i="16" s="1"/>
  <c r="J15" i="16"/>
  <c r="L15" i="16" s="1"/>
  <c r="J16" i="16"/>
  <c r="L16" i="16" s="1"/>
  <c r="J6" i="16"/>
  <c r="L6" i="16" s="1"/>
  <c r="K7" i="16"/>
  <c r="K8" i="16"/>
  <c r="K9" i="16"/>
  <c r="K10" i="16"/>
  <c r="K11" i="16"/>
  <c r="K12" i="16"/>
  <c r="K13" i="16"/>
  <c r="K14" i="16"/>
  <c r="K15" i="16"/>
  <c r="K16" i="16"/>
  <c r="K6" i="16"/>
  <c r="N31" i="18" l="1"/>
  <c r="K83" i="17"/>
  <c r="K31" i="18"/>
  <c r="K133" i="17"/>
  <c r="K196" i="17"/>
  <c r="O30" i="18" s="1"/>
  <c r="L31" i="18"/>
  <c r="M31" i="18"/>
  <c r="K168" i="17"/>
  <c r="N30" i="18" s="1"/>
  <c r="K55" i="17"/>
  <c r="J31" i="18"/>
  <c r="K76" i="17"/>
  <c r="P31" i="18"/>
  <c r="K20" i="17"/>
  <c r="H20" i="17"/>
  <c r="I9" i="17"/>
  <c r="I20" i="17" s="1"/>
  <c r="I31" i="18"/>
  <c r="K27" i="17"/>
  <c r="K189" i="17"/>
  <c r="O26" i="18" s="1"/>
  <c r="O31" i="18"/>
  <c r="K217" i="17"/>
  <c r="H217" i="17"/>
  <c r="H189" i="17"/>
  <c r="I178" i="17"/>
  <c r="I189" i="17" s="1"/>
  <c r="O24" i="18" s="1"/>
  <c r="I161" i="17"/>
  <c r="N24" i="18" s="1"/>
  <c r="H161" i="17"/>
  <c r="K140" i="17"/>
  <c r="I122" i="17"/>
  <c r="I133" i="17" s="1"/>
  <c r="H133" i="17"/>
  <c r="K105" i="17"/>
  <c r="I105" i="17"/>
  <c r="H105" i="17"/>
  <c r="I76" i="17"/>
  <c r="H76" i="17"/>
  <c r="K48" i="17"/>
  <c r="H48" i="17"/>
  <c r="I37" i="17"/>
  <c r="I48" i="17" s="1"/>
  <c r="J186" i="16"/>
  <c r="K186" i="16"/>
  <c r="G189" i="16" s="1"/>
  <c r="L174" i="16"/>
  <c r="L186" i="16" s="1"/>
  <c r="J162" i="16"/>
  <c r="K162" i="16"/>
  <c r="G165" i="16" s="1"/>
  <c r="L150" i="16"/>
  <c r="L162" i="16" s="1"/>
  <c r="L138" i="16"/>
  <c r="J138" i="16"/>
  <c r="K138" i="16"/>
  <c r="G141" i="16" s="1"/>
  <c r="L114" i="16"/>
  <c r="J114" i="16"/>
  <c r="K114" i="16"/>
  <c r="G117" i="16" s="1"/>
  <c r="L91" i="16"/>
  <c r="J91" i="16"/>
  <c r="K91" i="16"/>
  <c r="G94" i="16" s="1"/>
  <c r="J67" i="16"/>
  <c r="L67" i="16"/>
  <c r="K67" i="16"/>
  <c r="G70" i="16" s="1"/>
  <c r="J42" i="16"/>
  <c r="L42" i="16"/>
  <c r="K42" i="16"/>
  <c r="G45" i="16" s="1"/>
  <c r="K18" i="16"/>
  <c r="G21" i="16" s="1"/>
  <c r="J18" i="16"/>
  <c r="L18" i="16"/>
  <c r="P16" i="18" l="1"/>
  <c r="K223" i="17"/>
  <c r="K16" i="18"/>
  <c r="K82" i="17"/>
  <c r="N16" i="18"/>
  <c r="K167" i="17"/>
  <c r="N29" i="18" s="1"/>
  <c r="J16" i="18"/>
  <c r="K54" i="17"/>
  <c r="M16" i="18"/>
  <c r="K139" i="17"/>
  <c r="J190" i="16"/>
  <c r="O16" i="18"/>
  <c r="L16" i="18"/>
  <c r="K111" i="17"/>
  <c r="I16" i="18"/>
  <c r="K26" i="17"/>
  <c r="K195" i="17"/>
  <c r="O29" i="18" s="1"/>
  <c r="O23" i="18"/>
  <c r="O22" i="18"/>
  <c r="N22" i="18"/>
  <c r="J188" i="16"/>
  <c r="J166" i="16"/>
  <c r="J118" i="16"/>
  <c r="J93" i="16"/>
  <c r="J164" i="16"/>
  <c r="O17" i="18" s="1"/>
  <c r="J189" i="16"/>
  <c r="P18" i="18" s="1"/>
  <c r="P34" i="18" s="1"/>
  <c r="J165" i="16"/>
  <c r="O18" i="18" s="1"/>
  <c r="J141" i="16"/>
  <c r="N18" i="18" s="1"/>
  <c r="J140" i="16"/>
  <c r="J142" i="16"/>
  <c r="J117" i="16"/>
  <c r="M18" i="18" s="1"/>
  <c r="M34" i="18" s="1"/>
  <c r="J116" i="16"/>
  <c r="J94" i="16"/>
  <c r="L18" i="18" s="1"/>
  <c r="L34" i="18" s="1"/>
  <c r="J95" i="16"/>
  <c r="J46" i="16"/>
  <c r="J22" i="16"/>
  <c r="J45" i="16"/>
  <c r="J18" i="18" s="1"/>
  <c r="J34" i="18" s="1"/>
  <c r="J21" i="16"/>
  <c r="I18" i="18" s="1"/>
  <c r="I34" i="18" s="1"/>
  <c r="J20" i="16"/>
  <c r="I17" i="18" s="1"/>
  <c r="H28" i="17" l="1"/>
  <c r="H84" i="17"/>
  <c r="H141" i="17"/>
  <c r="H113" i="17"/>
  <c r="H169" i="17"/>
  <c r="N23" i="18"/>
  <c r="H56" i="17"/>
  <c r="H225" i="17"/>
  <c r="L118" i="16"/>
  <c r="M33" i="18" s="1"/>
  <c r="M20" i="18"/>
  <c r="L142" i="16"/>
  <c r="N33" i="18" s="1"/>
  <c r="N20" i="18"/>
  <c r="L95" i="16"/>
  <c r="L33" i="18" s="1"/>
  <c r="L20" i="18"/>
  <c r="N17" i="18"/>
  <c r="P17" i="18"/>
  <c r="J20" i="18"/>
  <c r="L46" i="16"/>
  <c r="J33" i="18" s="1"/>
  <c r="L71" i="16"/>
  <c r="K33" i="18" s="1"/>
  <c r="K20" i="18"/>
  <c r="L190" i="16"/>
  <c r="P33" i="18" s="1"/>
  <c r="P20" i="18"/>
  <c r="M17" i="18"/>
  <c r="L17" i="18"/>
  <c r="L166" i="16"/>
  <c r="O33" i="18" s="1"/>
  <c r="O20" i="18"/>
  <c r="I20" i="18"/>
  <c r="L22" i="16"/>
  <c r="I33" i="18" s="1"/>
  <c r="H197" i="17"/>
  <c r="O25" i="18" s="1"/>
  <c r="J70" i="16"/>
  <c r="K18" i="18" s="1"/>
  <c r="K34" i="18" s="1"/>
  <c r="J71" i="16"/>
  <c r="J69" i="16"/>
  <c r="J44" i="16"/>
  <c r="K24" i="17" l="1"/>
  <c r="K52" i="17"/>
  <c r="N25" i="18"/>
  <c r="K165" i="17"/>
  <c r="K137" i="17"/>
  <c r="K221" i="17"/>
  <c r="K109" i="17"/>
  <c r="K80" i="17"/>
  <c r="K17" i="18"/>
  <c r="J17" i="18"/>
  <c r="K193" i="17"/>
  <c r="O27" i="18" s="1"/>
  <c r="N27" i="18" l="1"/>
  <c r="N28" i="18"/>
  <c r="O28" i="18"/>
</calcChain>
</file>

<file path=xl/sharedStrings.xml><?xml version="1.0" encoding="utf-8"?>
<sst xmlns="http://schemas.openxmlformats.org/spreadsheetml/2006/main" count="350" uniqueCount="80">
  <si>
    <t>S.M</t>
  </si>
  <si>
    <t>S.A</t>
  </si>
  <si>
    <t>f(VM)</t>
  </si>
  <si>
    <t>f(LM)</t>
  </si>
  <si>
    <t>ADMIRAL BARGE</t>
  </si>
  <si>
    <t xml:space="preserve">Length  </t>
  </si>
  <si>
    <t>Breadth</t>
  </si>
  <si>
    <t>Draft</t>
  </si>
  <si>
    <t>Depth</t>
  </si>
  <si>
    <t>f(l)</t>
  </si>
  <si>
    <t>STATIONS</t>
  </si>
  <si>
    <t>H.B</t>
  </si>
  <si>
    <t>LEVER</t>
  </si>
  <si>
    <t>F.A</t>
  </si>
  <si>
    <t>Volume displacement :</t>
  </si>
  <si>
    <t>Vertical moment :</t>
  </si>
  <si>
    <t>Longitudinal moment :</t>
  </si>
  <si>
    <t>LCB :</t>
  </si>
  <si>
    <t>VCB :</t>
  </si>
  <si>
    <t>Displacement :</t>
  </si>
  <si>
    <t>Cb:</t>
  </si>
  <si>
    <t>WATERLINE - 175</t>
  </si>
  <si>
    <t>WATERLINE - 200</t>
  </si>
  <si>
    <t>STATION</t>
  </si>
  <si>
    <t>SM</t>
  </si>
  <si>
    <t>Y</t>
  </si>
  <si>
    <r>
      <t>f(A</t>
    </r>
    <r>
      <rPr>
        <vertAlign val="subscript"/>
        <sz val="11"/>
        <color rgb="FF000000"/>
        <rFont val="Calibri"/>
      </rPr>
      <t>W</t>
    </r>
    <r>
      <rPr>
        <sz val="11"/>
        <color rgb="FF000000"/>
        <rFont val="Calibri"/>
      </rPr>
      <t>)</t>
    </r>
  </si>
  <si>
    <t>LEVER FROM AP</t>
  </si>
  <si>
    <r>
      <t>f(LM</t>
    </r>
    <r>
      <rPr>
        <vertAlign val="subscript"/>
        <sz val="11"/>
        <color rgb="FF000000"/>
        <rFont val="Calibri"/>
      </rPr>
      <t>W</t>
    </r>
    <r>
      <rPr>
        <sz val="11"/>
        <color rgb="FF000000"/>
        <rFont val="Calibri"/>
      </rPr>
      <t>)</t>
    </r>
  </si>
  <si>
    <r>
      <t>f(LMI</t>
    </r>
    <r>
      <rPr>
        <vertAlign val="subscript"/>
        <sz val="11"/>
        <color rgb="FF000000"/>
        <rFont val="Calibri"/>
      </rPr>
      <t>W</t>
    </r>
    <r>
      <rPr>
        <sz val="11"/>
        <color rgb="FF000000"/>
        <rFont val="Calibri"/>
      </rPr>
      <t>)</t>
    </r>
  </si>
  <si>
    <t>y^2</t>
  </si>
  <si>
    <r>
      <t>f(TMI</t>
    </r>
    <r>
      <rPr>
        <vertAlign val="subscript"/>
        <sz val="11"/>
        <color rgb="FF000000"/>
        <rFont val="Calibri"/>
      </rPr>
      <t>W</t>
    </r>
    <r>
      <rPr>
        <sz val="11"/>
        <color rgb="FF000000"/>
        <rFont val="Calibri"/>
      </rPr>
      <t>)</t>
    </r>
  </si>
  <si>
    <t>water palne area:</t>
  </si>
  <si>
    <t xml:space="preserve"> water plane longitudinal moment about AP:</t>
  </si>
  <si>
    <t>LCF:</t>
  </si>
  <si>
    <t xml:space="preserve"> water plane Longitudinal moment of inertia(AP):</t>
  </si>
  <si>
    <t>water plane longitudinal moment of inertia(LCF):</t>
  </si>
  <si>
    <t>water plane transverse moment  of inertia:</t>
  </si>
  <si>
    <r>
      <t>BM</t>
    </r>
    <r>
      <rPr>
        <vertAlign val="subscript"/>
        <sz val="11"/>
        <color rgb="FF000000"/>
        <rFont val="Calibri"/>
      </rPr>
      <t>L</t>
    </r>
  </si>
  <si>
    <t>MCT</t>
  </si>
  <si>
    <r>
      <t>BM</t>
    </r>
    <r>
      <rPr>
        <vertAlign val="subscript"/>
        <sz val="11"/>
        <color rgb="FF000000"/>
        <rFont val="Calibri"/>
      </rPr>
      <t>T</t>
    </r>
  </si>
  <si>
    <t>TPC</t>
  </si>
  <si>
    <r>
      <t>C</t>
    </r>
    <r>
      <rPr>
        <vertAlign val="subscript"/>
        <sz val="11"/>
        <color rgb="FF000000"/>
        <rFont val="Calibri"/>
      </rPr>
      <t>W</t>
    </r>
  </si>
  <si>
    <t>All dimensions are in mm</t>
  </si>
  <si>
    <t>SUMMARY</t>
  </si>
  <si>
    <t>S.No</t>
  </si>
  <si>
    <t>Volume displacement</t>
  </si>
  <si>
    <t>Displacement</t>
  </si>
  <si>
    <t>VCB</t>
  </si>
  <si>
    <t>LCB</t>
  </si>
  <si>
    <t>Cb</t>
  </si>
  <si>
    <t>Waterplane area</t>
  </si>
  <si>
    <t>LCF</t>
  </si>
  <si>
    <t>Waterplane longitudinal moment about AP</t>
  </si>
  <si>
    <t>Waterplane longitudinal moment of inertia AP</t>
  </si>
  <si>
    <t>Water plane transverse moment  of inertia</t>
  </si>
  <si>
    <t>Waterplane longitudinal moment of inertia LCF</t>
  </si>
  <si>
    <t>PARTICULARS</t>
  </si>
  <si>
    <t>Cm:</t>
  </si>
  <si>
    <t>Cp:</t>
  </si>
  <si>
    <t>Cp</t>
  </si>
  <si>
    <t xml:space="preserve">Cm: </t>
  </si>
  <si>
    <t>Cm</t>
  </si>
  <si>
    <t>KM</t>
  </si>
  <si>
    <t>`</t>
  </si>
  <si>
    <t>WATERLINES in m</t>
  </si>
  <si>
    <t>WATER LINE-0.025</t>
  </si>
  <si>
    <t>WATER LINE-0.05</t>
  </si>
  <si>
    <t>WATER LINE-0.075</t>
  </si>
  <si>
    <t>WATER LINE-0.1</t>
  </si>
  <si>
    <t>WATER LINE-0.125</t>
  </si>
  <si>
    <t>WATER LINE-0.15</t>
  </si>
  <si>
    <t>WATER LINE-0.175</t>
  </si>
  <si>
    <t>WATER LINE-0.2</t>
  </si>
  <si>
    <t>WATERLINE - 0.025</t>
  </si>
  <si>
    <t>WATERLINE - 0.05</t>
  </si>
  <si>
    <t>WATERLINE - 0.1</t>
  </si>
  <si>
    <t>WATERLINE - 0.125</t>
  </si>
  <si>
    <t>WATERLINE - 0.15</t>
  </si>
  <si>
    <t>WATERLINE - 0.075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</si>
</sst>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"/>
    <numFmt numFmtId="166" formatCode="0.00000E+00"/>
    <numFmt numFmtId="167" formatCode="0.0000"/>
    <numFmt numFmtId="168" formatCode="0.000000"/>
    <numFmt numFmtId="169" formatCode="0.0000000"/>
    <numFmt numFmtId="170" formatCode="0.000000000"/>
    <numFmt numFmtId="171" formatCode="0.000000000E+00"/>
  </numFmts>
  <fonts count="4">
    <font>
      <sz val="11"/>
      <name val="Calibri"/>
    </font>
    <font>
      <sz val="11"/>
      <name val="Calibri"/>
      <family val="2"/>
    </font>
    <font>
      <sz val="11"/>
      <color rgb="FF000000"/>
      <name val="Calibri"/>
    </font>
    <font>
      <vertAlign val="subscript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>
      <alignment vertical="center"/>
    </xf>
    <xf numFmtId="16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164" fontId="1" fillId="0" borderId="9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164" fontId="0" fillId="0" borderId="4" xfId="0" applyNumberFormat="1" applyBorder="1">
      <alignment vertical="center"/>
    </xf>
    <xf numFmtId="2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0" fontId="0" fillId="0" borderId="13" xfId="0" applyBorder="1">
      <alignment vertical="center"/>
    </xf>
    <xf numFmtId="165" fontId="2" fillId="0" borderId="0" xfId="0" applyNumberFormat="1" applyFont="1" applyAlignment="1"/>
    <xf numFmtId="0" fontId="2" fillId="0" borderId="4" xfId="0" applyFont="1" applyBorder="1" applyAlignment="1"/>
    <xf numFmtId="165" fontId="2" fillId="0" borderId="4" xfId="0" applyNumberFormat="1" applyFont="1" applyBorder="1" applyAlignment="1"/>
    <xf numFmtId="2" fontId="2" fillId="0" borderId="0" xfId="0" applyNumberFormat="1" applyFont="1" applyAlignment="1"/>
    <xf numFmtId="16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2" fontId="0" fillId="0" borderId="25" xfId="0" applyNumberFormat="1" applyBorder="1">
      <alignment vertical="center"/>
    </xf>
    <xf numFmtId="0" fontId="0" fillId="0" borderId="25" xfId="0" applyBorder="1" applyAlignment="1">
      <alignment vertical="center"/>
    </xf>
    <xf numFmtId="0" fontId="0" fillId="0" borderId="25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2" fontId="0" fillId="0" borderId="28" xfId="0" applyNumberFormat="1" applyBorder="1">
      <alignment vertical="center"/>
    </xf>
    <xf numFmtId="0" fontId="0" fillId="0" borderId="28" xfId="0" applyBorder="1" applyAlignment="1">
      <alignment vertical="center"/>
    </xf>
    <xf numFmtId="0" fontId="0" fillId="0" borderId="28" xfId="0" applyFill="1" applyBorder="1">
      <alignment vertical="center"/>
    </xf>
    <xf numFmtId="0" fontId="0" fillId="0" borderId="22" xfId="0" applyBorder="1">
      <alignment vertical="center"/>
    </xf>
    <xf numFmtId="0" fontId="0" fillId="0" borderId="17" xfId="0" applyBorder="1">
      <alignment vertical="center"/>
    </xf>
    <xf numFmtId="2" fontId="0" fillId="0" borderId="17" xfId="0" applyNumberFormat="1" applyBorder="1">
      <alignment vertical="center"/>
    </xf>
    <xf numFmtId="0" fontId="0" fillId="0" borderId="17" xfId="0" applyBorder="1" applyAlignment="1">
      <alignment vertical="center"/>
    </xf>
    <xf numFmtId="0" fontId="0" fillId="0" borderId="17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7" fontId="0" fillId="0" borderId="4" xfId="0" applyNumberFormat="1" applyBorder="1">
      <alignment vertical="center"/>
    </xf>
    <xf numFmtId="167" fontId="0" fillId="0" borderId="10" xfId="0" applyNumberFormat="1" applyBorder="1">
      <alignment vertical="center"/>
    </xf>
    <xf numFmtId="170" fontId="0" fillId="0" borderId="4" xfId="0" applyNumberFormat="1" applyBorder="1">
      <alignment vertical="center"/>
    </xf>
    <xf numFmtId="169" fontId="0" fillId="0" borderId="4" xfId="0" applyNumberFormat="1" applyBorder="1">
      <alignment vertical="center"/>
    </xf>
    <xf numFmtId="168" fontId="0" fillId="0" borderId="4" xfId="0" applyNumberFormat="1" applyBorder="1">
      <alignment vertical="center"/>
    </xf>
    <xf numFmtId="171" fontId="0" fillId="0" borderId="4" xfId="0" applyNumberFormat="1" applyBorder="1">
      <alignment vertical="center"/>
    </xf>
    <xf numFmtId="2" fontId="0" fillId="0" borderId="29" xfId="0" applyNumberFormat="1" applyBorder="1">
      <alignment vertical="center"/>
    </xf>
    <xf numFmtId="2" fontId="0" fillId="0" borderId="26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0" xfId="0" applyNumberFormat="1" applyBorder="1">
      <alignment vertical="center"/>
    </xf>
    <xf numFmtId="169" fontId="0" fillId="0" borderId="10" xfId="0" applyNumberFormat="1" applyBorder="1">
      <alignment vertical="center"/>
    </xf>
    <xf numFmtId="167" fontId="0" fillId="0" borderId="37" xfId="0" applyNumberFormat="1" applyBorder="1">
      <alignment vertical="center"/>
    </xf>
    <xf numFmtId="2" fontId="0" fillId="0" borderId="38" xfId="0" applyNumberFormat="1" applyBorder="1">
      <alignment vertical="center"/>
    </xf>
    <xf numFmtId="168" fontId="0" fillId="0" borderId="1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</xdr:colOff>
      <xdr:row>36</xdr:row>
      <xdr:rowOff>144780</xdr:rowOff>
    </xdr:from>
    <xdr:ext cx="184731" cy="264560"/>
    <xdr:sp macro="" textlink="">
      <xdr:nvSpPr>
        <xdr:cNvPr id="4" name="TextBox 3"/>
        <xdr:cNvSpPr txBox="1"/>
      </xdr:nvSpPr>
      <xdr:spPr>
        <a:xfrm>
          <a:off x="3131820" y="67970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11</xdr:col>
      <xdr:colOff>198120</xdr:colOff>
      <xdr:row>43</xdr:row>
      <xdr:rowOff>99060</xdr:rowOff>
    </xdr:from>
    <xdr:to>
      <xdr:col>11</xdr:col>
      <xdr:colOff>243839</xdr:colOff>
      <xdr:row>43</xdr:row>
      <xdr:rowOff>144779</xdr:rowOff>
    </xdr:to>
    <xdr:sp macro="" textlink="">
      <xdr:nvSpPr>
        <xdr:cNvPr id="5" name="TextBox 4"/>
        <xdr:cNvSpPr txBox="1"/>
      </xdr:nvSpPr>
      <xdr:spPr>
        <a:xfrm>
          <a:off x="8122920" y="803148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10</xdr:col>
      <xdr:colOff>830580</xdr:colOff>
      <xdr:row>38</xdr:row>
      <xdr:rowOff>76200</xdr:rowOff>
    </xdr:from>
    <xdr:ext cx="228600" cy="1112520"/>
    <xdr:sp macro="" textlink="">
      <xdr:nvSpPr>
        <xdr:cNvPr id="6" name="TextBox 5"/>
        <xdr:cNvSpPr txBox="1"/>
      </xdr:nvSpPr>
      <xdr:spPr>
        <a:xfrm rot="16200000">
          <a:off x="7277100" y="7536180"/>
          <a:ext cx="111252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12</xdr:col>
      <xdr:colOff>350520</xdr:colOff>
      <xdr:row>49</xdr:row>
      <xdr:rowOff>0</xdr:rowOff>
    </xdr:from>
    <xdr:ext cx="1249680" cy="220979"/>
    <xdr:sp macro="" textlink="">
      <xdr:nvSpPr>
        <xdr:cNvPr id="7" name="TextBox 6"/>
        <xdr:cNvSpPr txBox="1"/>
      </xdr:nvSpPr>
      <xdr:spPr>
        <a:xfrm>
          <a:off x="9281160" y="9022080"/>
          <a:ext cx="1249680" cy="2209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0</xdr:colOff>
      <xdr:row>49</xdr:row>
      <xdr:rowOff>30480</xdr:rowOff>
    </xdr:from>
    <xdr:ext cx="1370183" cy="198120"/>
    <xdr:sp macro="" textlink="">
      <xdr:nvSpPr>
        <xdr:cNvPr id="9" name="TextBox 8"/>
        <xdr:cNvSpPr txBox="1"/>
      </xdr:nvSpPr>
      <xdr:spPr>
        <a:xfrm>
          <a:off x="3657600" y="9052560"/>
          <a:ext cx="1370183" cy="198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L14"/>
  <sheetViews>
    <sheetView workbookViewId="0">
      <selection activeCell="G26" sqref="G26"/>
    </sheetView>
  </sheetViews>
  <sheetFormatPr defaultRowHeight="14.4"/>
  <sheetData>
    <row r="5" spans="8:12" ht="15" thickBot="1"/>
    <row r="6" spans="8:12">
      <c r="I6" s="60" t="s">
        <v>4</v>
      </c>
      <c r="J6" s="61"/>
      <c r="K6" s="62"/>
    </row>
    <row r="7" spans="8:12">
      <c r="I7" s="3"/>
      <c r="J7" s="2"/>
      <c r="K7" s="4"/>
    </row>
    <row r="8" spans="8:12">
      <c r="H8" s="1"/>
      <c r="I8" s="5" t="s">
        <v>5</v>
      </c>
      <c r="J8" s="2"/>
      <c r="K8" s="6">
        <v>1000</v>
      </c>
    </row>
    <row r="9" spans="8:12">
      <c r="I9" s="5" t="s">
        <v>6</v>
      </c>
      <c r="J9" s="2"/>
      <c r="K9" s="6">
        <v>349</v>
      </c>
    </row>
    <row r="10" spans="8:12">
      <c r="I10" s="5" t="s">
        <v>7</v>
      </c>
      <c r="J10" s="2"/>
      <c r="K10" s="6">
        <v>90</v>
      </c>
    </row>
    <row r="11" spans="8:12" ht="15" thickBot="1">
      <c r="I11" s="7" t="s">
        <v>8</v>
      </c>
      <c r="J11" s="8"/>
      <c r="K11" s="9">
        <v>268.5</v>
      </c>
    </row>
    <row r="14" spans="8:12">
      <c r="L14" t="s">
        <v>43</v>
      </c>
    </row>
  </sheetData>
  <mergeCells count="1">
    <mergeCell ref="I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95"/>
  <sheetViews>
    <sheetView zoomScaleNormal="100" workbookViewId="0">
      <selection activeCell="P14" sqref="P14"/>
    </sheetView>
  </sheetViews>
  <sheetFormatPr defaultRowHeight="14.4"/>
  <cols>
    <col min="7" max="7" width="16.109375" customWidth="1"/>
    <col min="9" max="9" width="12.33203125" customWidth="1"/>
    <col min="10" max="10" width="12" customWidth="1"/>
    <col min="11" max="11" width="10.109375" customWidth="1"/>
    <col min="12" max="12" width="11.6640625" customWidth="1"/>
    <col min="14" max="14" width="11.5546875" bestFit="1" customWidth="1"/>
  </cols>
  <sheetData>
    <row r="1" spans="4:12" ht="15" thickBot="1"/>
    <row r="2" spans="4:12" ht="15" thickBot="1">
      <c r="H2" s="63" t="s">
        <v>74</v>
      </c>
      <c r="I2" s="64"/>
    </row>
    <row r="4" spans="4:12">
      <c r="D4" s="14" t="s">
        <v>10</v>
      </c>
      <c r="E4" s="14" t="s">
        <v>0</v>
      </c>
      <c r="F4" s="14" t="s">
        <v>11</v>
      </c>
      <c r="G4" s="14" t="s">
        <v>1</v>
      </c>
      <c r="H4" s="14" t="s">
        <v>12</v>
      </c>
      <c r="I4" s="14" t="s">
        <v>13</v>
      </c>
      <c r="J4" s="14" t="s">
        <v>9</v>
      </c>
      <c r="K4" s="14" t="s">
        <v>2</v>
      </c>
      <c r="L4" s="14" t="s">
        <v>3</v>
      </c>
    </row>
    <row r="5" spans="4:12">
      <c r="D5" s="2"/>
      <c r="E5" s="2"/>
      <c r="F5" s="2"/>
      <c r="G5" s="2"/>
      <c r="H5" s="2"/>
      <c r="I5" s="2"/>
      <c r="J5" s="2"/>
      <c r="K5" s="2"/>
      <c r="L5" s="2"/>
    </row>
    <row r="6" spans="4:12">
      <c r="D6" s="2">
        <v>0</v>
      </c>
      <c r="E6" s="2">
        <v>1</v>
      </c>
      <c r="F6" s="46">
        <v>0</v>
      </c>
      <c r="G6" s="48">
        <v>0</v>
      </c>
      <c r="H6" s="2">
        <v>0</v>
      </c>
      <c r="I6" s="50">
        <f t="shared" ref="I6:I16" si="0">(F6*E6)/1000</f>
        <v>0</v>
      </c>
      <c r="J6" s="46">
        <f>G6*E6</f>
        <v>0</v>
      </c>
      <c r="K6" s="46">
        <f t="shared" ref="K6:K16" si="1">I6*H6*E6</f>
        <v>0</v>
      </c>
      <c r="L6" s="46">
        <f>J6*H6</f>
        <v>0</v>
      </c>
    </row>
    <row r="7" spans="4:12">
      <c r="D7" s="2">
        <v>1</v>
      </c>
      <c r="E7" s="2">
        <v>4</v>
      </c>
      <c r="F7" s="46">
        <v>2.2000000000000001E-3</v>
      </c>
      <c r="G7" s="48">
        <v>1.3354E-5</v>
      </c>
      <c r="H7" s="2">
        <v>1</v>
      </c>
      <c r="I7" s="50">
        <f t="shared" si="0"/>
        <v>8.8000000000000004E-6</v>
      </c>
      <c r="J7" s="46">
        <f t="shared" ref="J7:J16" si="2">G7*E7</f>
        <v>5.3415999999999998E-5</v>
      </c>
      <c r="K7" s="46">
        <f t="shared" si="1"/>
        <v>3.5200000000000002E-5</v>
      </c>
      <c r="L7" s="46">
        <f t="shared" ref="L7:L16" si="3">J7*H7</f>
        <v>5.3415999999999998E-5</v>
      </c>
    </row>
    <row r="8" spans="4:12">
      <c r="D8" s="2">
        <v>2</v>
      </c>
      <c r="E8" s="2">
        <v>2</v>
      </c>
      <c r="F8" s="46">
        <v>1.0999999999999999E-2</v>
      </c>
      <c r="G8" s="48">
        <v>2.703165E-4</v>
      </c>
      <c r="H8" s="2">
        <v>2</v>
      </c>
      <c r="I8" s="50">
        <f t="shared" si="0"/>
        <v>2.1999999999999999E-5</v>
      </c>
      <c r="J8" s="46">
        <f t="shared" si="2"/>
        <v>5.40633E-4</v>
      </c>
      <c r="K8" s="46">
        <f t="shared" si="1"/>
        <v>8.7999999999999998E-5</v>
      </c>
      <c r="L8" s="46">
        <f t="shared" si="3"/>
        <v>1.081266E-3</v>
      </c>
    </row>
    <row r="9" spans="4:12">
      <c r="D9" s="2">
        <v>3</v>
      </c>
      <c r="E9" s="2">
        <v>4</v>
      </c>
      <c r="F9" s="46">
        <v>1.9399999999999997E-2</v>
      </c>
      <c r="G9" s="48">
        <v>4.800389E-4</v>
      </c>
      <c r="H9" s="2">
        <v>3</v>
      </c>
      <c r="I9" s="50">
        <f t="shared" si="0"/>
        <v>7.7599999999999989E-5</v>
      </c>
      <c r="J9" s="46">
        <f t="shared" si="2"/>
        <v>1.9201556E-3</v>
      </c>
      <c r="K9" s="46">
        <f t="shared" si="1"/>
        <v>9.3119999999999987E-4</v>
      </c>
      <c r="L9" s="46">
        <f t="shared" si="3"/>
        <v>5.7604667999999999E-3</v>
      </c>
    </row>
    <row r="10" spans="4:12">
      <c r="D10" s="2">
        <v>4</v>
      </c>
      <c r="E10" s="2">
        <v>2</v>
      </c>
      <c r="F10" s="46">
        <v>3.1800000000000002E-2</v>
      </c>
      <c r="G10" s="48">
        <v>6.8155349999999995E-4</v>
      </c>
      <c r="H10" s="2">
        <v>4</v>
      </c>
      <c r="I10" s="50">
        <f t="shared" si="0"/>
        <v>6.3600000000000001E-5</v>
      </c>
      <c r="J10" s="46">
        <f t="shared" si="2"/>
        <v>1.3631069999999999E-3</v>
      </c>
      <c r="K10" s="46">
        <f t="shared" si="1"/>
        <v>5.0880000000000001E-4</v>
      </c>
      <c r="L10" s="46">
        <f t="shared" si="3"/>
        <v>5.4524279999999996E-3</v>
      </c>
    </row>
    <row r="11" spans="4:12">
      <c r="D11" s="2">
        <v>5</v>
      </c>
      <c r="E11" s="2">
        <v>4</v>
      </c>
      <c r="F11" s="46">
        <v>2.75E-2</v>
      </c>
      <c r="G11" s="48">
        <v>2.773276E-4</v>
      </c>
      <c r="H11" s="2">
        <v>5</v>
      </c>
      <c r="I11" s="50">
        <f t="shared" si="0"/>
        <v>1.1E-4</v>
      </c>
      <c r="J11" s="46">
        <f t="shared" si="2"/>
        <v>1.1093104E-3</v>
      </c>
      <c r="K11" s="46">
        <f t="shared" si="1"/>
        <v>2.2000000000000001E-3</v>
      </c>
      <c r="L11" s="46">
        <f t="shared" si="3"/>
        <v>5.5465519999999997E-3</v>
      </c>
    </row>
    <row r="12" spans="4:12">
      <c r="D12" s="2">
        <v>6</v>
      </c>
      <c r="E12" s="2">
        <v>2</v>
      </c>
      <c r="F12" s="46">
        <v>0</v>
      </c>
      <c r="G12" s="48">
        <v>0</v>
      </c>
      <c r="H12" s="2">
        <v>6</v>
      </c>
      <c r="I12" s="50">
        <f t="shared" si="0"/>
        <v>0</v>
      </c>
      <c r="J12" s="46">
        <f t="shared" si="2"/>
        <v>0</v>
      </c>
      <c r="K12" s="46">
        <f t="shared" si="1"/>
        <v>0</v>
      </c>
      <c r="L12" s="46">
        <f t="shared" si="3"/>
        <v>0</v>
      </c>
    </row>
    <row r="13" spans="4:12">
      <c r="D13" s="2">
        <v>7</v>
      </c>
      <c r="E13" s="2">
        <v>4</v>
      </c>
      <c r="F13" s="46">
        <v>0</v>
      </c>
      <c r="G13" s="48">
        <v>0</v>
      </c>
      <c r="H13" s="2">
        <v>7</v>
      </c>
      <c r="I13" s="50">
        <f t="shared" si="0"/>
        <v>0</v>
      </c>
      <c r="J13" s="46">
        <f t="shared" si="2"/>
        <v>0</v>
      </c>
      <c r="K13" s="46">
        <f t="shared" si="1"/>
        <v>0</v>
      </c>
      <c r="L13" s="46">
        <f t="shared" si="3"/>
        <v>0</v>
      </c>
    </row>
    <row r="14" spans="4:12">
      <c r="D14" s="2">
        <v>8</v>
      </c>
      <c r="E14" s="2">
        <v>2</v>
      </c>
      <c r="F14" s="46">
        <v>0</v>
      </c>
      <c r="G14" s="48">
        <v>0</v>
      </c>
      <c r="H14" s="2">
        <v>8</v>
      </c>
      <c r="I14" s="50">
        <f t="shared" si="0"/>
        <v>0</v>
      </c>
      <c r="J14" s="46">
        <f t="shared" si="2"/>
        <v>0</v>
      </c>
      <c r="K14" s="46">
        <f t="shared" si="1"/>
        <v>0</v>
      </c>
      <c r="L14" s="46">
        <f t="shared" si="3"/>
        <v>0</v>
      </c>
    </row>
    <row r="15" spans="4:12">
      <c r="D15" s="2">
        <v>9</v>
      </c>
      <c r="E15" s="2">
        <v>4</v>
      </c>
      <c r="F15" s="46">
        <v>0</v>
      </c>
      <c r="G15" s="48">
        <v>0</v>
      </c>
      <c r="H15" s="2">
        <v>9</v>
      </c>
      <c r="I15" s="50">
        <f t="shared" si="0"/>
        <v>0</v>
      </c>
      <c r="J15" s="46">
        <f t="shared" si="2"/>
        <v>0</v>
      </c>
      <c r="K15" s="46">
        <f t="shared" si="1"/>
        <v>0</v>
      </c>
      <c r="L15" s="46">
        <f t="shared" si="3"/>
        <v>0</v>
      </c>
    </row>
    <row r="16" spans="4:12">
      <c r="D16" s="2">
        <v>10</v>
      </c>
      <c r="E16" s="2">
        <v>1</v>
      </c>
      <c r="F16" s="46">
        <v>0</v>
      </c>
      <c r="G16" s="48">
        <v>0</v>
      </c>
      <c r="H16" s="2">
        <v>10</v>
      </c>
      <c r="I16" s="50">
        <f t="shared" si="0"/>
        <v>0</v>
      </c>
      <c r="J16" s="46">
        <f t="shared" si="2"/>
        <v>0</v>
      </c>
      <c r="K16" s="46">
        <f t="shared" si="1"/>
        <v>0</v>
      </c>
      <c r="L16" s="46">
        <f t="shared" si="3"/>
        <v>0</v>
      </c>
    </row>
    <row r="17" spans="4:12">
      <c r="D17" s="2"/>
      <c r="E17" s="2"/>
      <c r="F17" s="2"/>
      <c r="G17" s="2"/>
      <c r="H17" s="2"/>
      <c r="I17" s="2"/>
      <c r="J17" s="11"/>
      <c r="K17" s="47"/>
      <c r="L17" s="11"/>
    </row>
    <row r="18" spans="4:12">
      <c r="D18" s="2"/>
      <c r="E18" s="2"/>
      <c r="F18" s="2"/>
      <c r="G18" s="2"/>
      <c r="H18" s="2"/>
      <c r="I18" s="15"/>
      <c r="J18" s="12">
        <f>SUM(J6:J16)</f>
        <v>4.9866219999999996E-3</v>
      </c>
      <c r="K18" s="12">
        <f>SUM(K6:K16)</f>
        <v>3.7632E-3</v>
      </c>
      <c r="L18" s="12">
        <f>SUM(L6:L16)</f>
        <v>1.7894128799999999E-2</v>
      </c>
    </row>
    <row r="20" spans="4:12">
      <c r="D20" s="1" t="s">
        <v>14</v>
      </c>
      <c r="G20">
        <f>(1/3*100*J18)/1000</f>
        <v>1.6622073333333329E-4</v>
      </c>
      <c r="H20" s="1" t="s">
        <v>19</v>
      </c>
      <c r="J20">
        <f>1.025*G20</f>
        <v>1.7037625166666662E-4</v>
      </c>
      <c r="K20" s="1" t="s">
        <v>20</v>
      </c>
      <c r="L20" s="23">
        <f>(G20/(481.04*63.6*25))*1000000000</f>
        <v>0.21732359412746868</v>
      </c>
    </row>
    <row r="21" spans="4:12">
      <c r="D21" s="1" t="s">
        <v>15</v>
      </c>
      <c r="G21">
        <f>(1/3*100*K18)/1000</f>
        <v>1.2543999999999996E-4</v>
      </c>
      <c r="H21" s="1" t="s">
        <v>18</v>
      </c>
      <c r="J21">
        <f>G21/G20</f>
        <v>0.75465916606472283</v>
      </c>
      <c r="K21" t="s">
        <v>58</v>
      </c>
      <c r="L21" s="23">
        <f>(G10/(63.6*25))*1000000</f>
        <v>0.42864999999999998</v>
      </c>
    </row>
    <row r="22" spans="4:12">
      <c r="D22" s="1" t="s">
        <v>16</v>
      </c>
      <c r="G22">
        <f>(1/3*100*100*L18)/1000000</f>
        <v>5.9647095999999989E-5</v>
      </c>
      <c r="H22" s="1" t="s">
        <v>17</v>
      </c>
      <c r="J22">
        <f>G22/G20</f>
        <v>0.35884269551612297</v>
      </c>
      <c r="K22" t="s">
        <v>59</v>
      </c>
      <c r="L22" s="23">
        <f>L20/L21</f>
        <v>0.50699543713395245</v>
      </c>
    </row>
    <row r="25" spans="4:12" ht="15" thickBot="1"/>
    <row r="26" spans="4:12" ht="15" thickBot="1">
      <c r="H26" s="63" t="s">
        <v>75</v>
      </c>
      <c r="I26" s="64"/>
    </row>
    <row r="28" spans="4:12">
      <c r="D28" s="14" t="s">
        <v>10</v>
      </c>
      <c r="E28" s="14" t="s">
        <v>0</v>
      </c>
      <c r="F28" s="14" t="s">
        <v>11</v>
      </c>
      <c r="G28" s="14" t="s">
        <v>1</v>
      </c>
      <c r="H28" s="14" t="s">
        <v>12</v>
      </c>
      <c r="I28" s="14" t="s">
        <v>13</v>
      </c>
      <c r="J28" s="14" t="s">
        <v>9</v>
      </c>
      <c r="K28" s="14" t="s">
        <v>2</v>
      </c>
      <c r="L28" s="14" t="s">
        <v>3</v>
      </c>
    </row>
    <row r="29" spans="4:12">
      <c r="D29" s="2"/>
      <c r="E29" s="2"/>
      <c r="F29" s="2"/>
      <c r="G29" s="2"/>
      <c r="H29" s="2"/>
      <c r="I29" s="2"/>
      <c r="J29" s="2"/>
      <c r="K29" s="2"/>
      <c r="L29" s="2"/>
    </row>
    <row r="30" spans="4:12">
      <c r="D30" s="2">
        <v>0</v>
      </c>
      <c r="E30" s="2">
        <v>1</v>
      </c>
      <c r="F30" s="2">
        <v>0</v>
      </c>
      <c r="G30" s="48">
        <v>0</v>
      </c>
      <c r="H30" s="2">
        <v>0</v>
      </c>
      <c r="I30" s="50">
        <f t="shared" ref="I30:I40" si="4">(F30*E30)/1000</f>
        <v>0</v>
      </c>
      <c r="J30" s="12">
        <f>G30*E30</f>
        <v>0</v>
      </c>
      <c r="K30" s="12">
        <f t="shared" ref="K30:K40" si="5">I30*H30*E30</f>
        <v>0</v>
      </c>
      <c r="L30" s="12">
        <f>J30*H30</f>
        <v>0</v>
      </c>
    </row>
    <row r="31" spans="4:12">
      <c r="D31" s="2">
        <v>1</v>
      </c>
      <c r="E31" s="2">
        <v>4</v>
      </c>
      <c r="F31" s="2">
        <v>0.01</v>
      </c>
      <c r="G31" s="48">
        <v>3.1937799999999999E-4</v>
      </c>
      <c r="H31" s="2">
        <v>1</v>
      </c>
      <c r="I31" s="50">
        <f t="shared" si="4"/>
        <v>4.0000000000000003E-5</v>
      </c>
      <c r="J31" s="12">
        <f t="shared" ref="J31:J40" si="6">G31*E31</f>
        <v>1.277512E-3</v>
      </c>
      <c r="K31" s="12">
        <f t="shared" si="5"/>
        <v>1.6000000000000001E-4</v>
      </c>
      <c r="L31" s="12">
        <f t="shared" ref="L31:L40" si="7">J31*H31</f>
        <v>1.277512E-3</v>
      </c>
    </row>
    <row r="32" spans="4:12">
      <c r="D32" s="2">
        <v>2</v>
      </c>
      <c r="E32" s="2">
        <v>2</v>
      </c>
      <c r="F32" s="2">
        <v>2.4E-2</v>
      </c>
      <c r="G32" s="48">
        <v>1.1346193E-3</v>
      </c>
      <c r="H32" s="2">
        <v>2</v>
      </c>
      <c r="I32" s="50">
        <f t="shared" si="4"/>
        <v>4.8000000000000001E-5</v>
      </c>
      <c r="J32" s="12">
        <f t="shared" si="6"/>
        <v>2.2692386E-3</v>
      </c>
      <c r="K32" s="12">
        <f t="shared" si="5"/>
        <v>1.92E-4</v>
      </c>
      <c r="L32" s="12">
        <f t="shared" si="7"/>
        <v>4.5384772E-3</v>
      </c>
    </row>
    <row r="33" spans="4:12">
      <c r="D33" s="2">
        <v>3</v>
      </c>
      <c r="E33" s="2">
        <v>4</v>
      </c>
      <c r="F33" s="2">
        <v>4.1500000000000002E-2</v>
      </c>
      <c r="G33" s="48">
        <v>1.9837191000000001E-3</v>
      </c>
      <c r="H33" s="2">
        <v>3</v>
      </c>
      <c r="I33" s="50">
        <f t="shared" si="4"/>
        <v>1.66E-4</v>
      </c>
      <c r="J33" s="12">
        <f t="shared" si="6"/>
        <v>7.9348764000000006E-3</v>
      </c>
      <c r="K33" s="12">
        <f t="shared" si="5"/>
        <v>1.9919999999999998E-3</v>
      </c>
      <c r="L33" s="12">
        <f t="shared" si="7"/>
        <v>2.3804629200000003E-2</v>
      </c>
    </row>
    <row r="34" spans="4:12">
      <c r="D34" s="2">
        <v>4</v>
      </c>
      <c r="E34" s="2">
        <v>2</v>
      </c>
      <c r="F34" s="2">
        <v>7.0000000000000007E-2</v>
      </c>
      <c r="G34" s="48">
        <v>3.2206062000000001E-3</v>
      </c>
      <c r="H34" s="2">
        <v>4</v>
      </c>
      <c r="I34" s="50">
        <f t="shared" si="4"/>
        <v>1.4000000000000001E-4</v>
      </c>
      <c r="J34" s="12">
        <f t="shared" si="6"/>
        <v>6.4412124000000001E-3</v>
      </c>
      <c r="K34" s="12">
        <f t="shared" si="5"/>
        <v>1.1200000000000001E-3</v>
      </c>
      <c r="L34" s="12">
        <f t="shared" si="7"/>
        <v>2.57648496E-2</v>
      </c>
    </row>
    <row r="35" spans="4:12">
      <c r="D35" s="2">
        <v>5</v>
      </c>
      <c r="E35" s="2">
        <v>4</v>
      </c>
      <c r="F35" s="2">
        <v>9.2499999999999999E-2</v>
      </c>
      <c r="G35" s="48">
        <v>3.2400184E-3</v>
      </c>
      <c r="H35" s="2">
        <v>5</v>
      </c>
      <c r="I35" s="50">
        <f t="shared" si="4"/>
        <v>3.6999999999999999E-4</v>
      </c>
      <c r="J35" s="12">
        <f t="shared" si="6"/>
        <v>1.29600736E-2</v>
      </c>
      <c r="K35" s="12">
        <f t="shared" si="5"/>
        <v>7.4000000000000003E-3</v>
      </c>
      <c r="L35" s="12">
        <f t="shared" si="7"/>
        <v>6.4800367999999997E-2</v>
      </c>
    </row>
    <row r="36" spans="4:12">
      <c r="D36" s="2">
        <v>6</v>
      </c>
      <c r="E36" s="2">
        <v>2</v>
      </c>
      <c r="F36" s="2">
        <v>0.10100000000000001</v>
      </c>
      <c r="G36" s="48">
        <v>2.1199196000000003E-3</v>
      </c>
      <c r="H36" s="2">
        <v>6</v>
      </c>
      <c r="I36" s="50">
        <f t="shared" si="4"/>
        <v>2.02E-4</v>
      </c>
      <c r="J36" s="12">
        <f t="shared" si="6"/>
        <v>4.2398392000000005E-3</v>
      </c>
      <c r="K36" s="12">
        <f t="shared" si="5"/>
        <v>2.4239999999999999E-3</v>
      </c>
      <c r="L36" s="12">
        <f t="shared" si="7"/>
        <v>2.5439035200000001E-2</v>
      </c>
    </row>
    <row r="37" spans="4:12">
      <c r="D37" s="2">
        <v>7</v>
      </c>
      <c r="E37" s="2">
        <v>4</v>
      </c>
      <c r="F37" s="2">
        <v>8.4000000000000005E-2</v>
      </c>
      <c r="G37" s="48">
        <v>7.4418749999999995E-4</v>
      </c>
      <c r="H37" s="2">
        <v>7</v>
      </c>
      <c r="I37" s="50">
        <f t="shared" si="4"/>
        <v>3.3600000000000004E-4</v>
      </c>
      <c r="J37" s="12">
        <f t="shared" si="6"/>
        <v>2.9767499999999998E-3</v>
      </c>
      <c r="K37" s="12">
        <f t="shared" si="5"/>
        <v>9.4080000000000014E-3</v>
      </c>
      <c r="L37" s="12">
        <f t="shared" si="7"/>
        <v>2.0837249999999998E-2</v>
      </c>
    </row>
    <row r="38" spans="4:12">
      <c r="D38" s="2">
        <v>8</v>
      </c>
      <c r="E38" s="2">
        <v>2</v>
      </c>
      <c r="F38" s="2">
        <v>0</v>
      </c>
      <c r="G38" s="48">
        <v>0</v>
      </c>
      <c r="H38" s="2">
        <v>8</v>
      </c>
      <c r="I38" s="50">
        <f t="shared" si="4"/>
        <v>0</v>
      </c>
      <c r="J38" s="12">
        <f t="shared" si="6"/>
        <v>0</v>
      </c>
      <c r="K38" s="12">
        <f t="shared" si="5"/>
        <v>0</v>
      </c>
      <c r="L38" s="12">
        <f t="shared" si="7"/>
        <v>0</v>
      </c>
    </row>
    <row r="39" spans="4:12">
      <c r="D39" s="2">
        <v>9</v>
      </c>
      <c r="E39" s="2">
        <v>4</v>
      </c>
      <c r="F39" s="2">
        <v>0</v>
      </c>
      <c r="G39" s="48">
        <v>0</v>
      </c>
      <c r="H39" s="2">
        <v>9</v>
      </c>
      <c r="I39" s="50">
        <f t="shared" si="4"/>
        <v>0</v>
      </c>
      <c r="J39" s="12">
        <f t="shared" si="6"/>
        <v>0</v>
      </c>
      <c r="K39" s="12">
        <f t="shared" si="5"/>
        <v>0</v>
      </c>
      <c r="L39" s="12">
        <f t="shared" si="7"/>
        <v>0</v>
      </c>
    </row>
    <row r="40" spans="4:12">
      <c r="D40" s="2">
        <v>10</v>
      </c>
      <c r="E40" s="2">
        <v>1</v>
      </c>
      <c r="F40" s="2">
        <v>0</v>
      </c>
      <c r="G40" s="48">
        <v>0</v>
      </c>
      <c r="H40" s="2">
        <v>10</v>
      </c>
      <c r="I40" s="50">
        <f t="shared" si="4"/>
        <v>0</v>
      </c>
      <c r="J40" s="12">
        <f t="shared" si="6"/>
        <v>0</v>
      </c>
      <c r="K40" s="12">
        <f t="shared" si="5"/>
        <v>0</v>
      </c>
      <c r="L40" s="12">
        <f t="shared" si="7"/>
        <v>0</v>
      </c>
    </row>
    <row r="41" spans="4:12">
      <c r="D41" s="2"/>
      <c r="E41" s="2"/>
      <c r="F41" s="2"/>
      <c r="G41" s="2"/>
      <c r="H41" s="2"/>
      <c r="I41" s="2"/>
      <c r="J41" s="11"/>
      <c r="K41" s="11"/>
      <c r="L41" s="11"/>
    </row>
    <row r="42" spans="4:12">
      <c r="D42" s="2"/>
      <c r="E42" s="2"/>
      <c r="F42" s="2"/>
      <c r="G42" s="2"/>
      <c r="H42" s="2"/>
      <c r="I42" s="15"/>
      <c r="J42" s="12">
        <f>SUM(J30:J40)</f>
        <v>3.8099502200000003E-2</v>
      </c>
      <c r="K42" s="12">
        <f>SUM(K30:K40)</f>
        <v>2.2696000000000001E-2</v>
      </c>
      <c r="L42" s="12">
        <f>SUM(L30:L40)</f>
        <v>0.16646212120000001</v>
      </c>
    </row>
    <row r="44" spans="4:12">
      <c r="D44" s="1" t="s">
        <v>14</v>
      </c>
      <c r="G44">
        <f>(1/3*100*J42)/1000</f>
        <v>1.2699834066666666E-3</v>
      </c>
      <c r="H44" s="1" t="s">
        <v>19</v>
      </c>
      <c r="J44">
        <f>1.025*G44</f>
        <v>1.3017329918333332E-3</v>
      </c>
      <c r="K44" s="1" t="s">
        <v>20</v>
      </c>
      <c r="L44" s="23">
        <f>(G44/(731.54*191.45*50))*1000000000</f>
        <v>0.18135711296019877</v>
      </c>
    </row>
    <row r="45" spans="4:12">
      <c r="D45" s="1" t="s">
        <v>15</v>
      </c>
      <c r="G45">
        <f>(1/3*100*K42)/1000</f>
        <v>7.5653333333333325E-4</v>
      </c>
      <c r="H45" s="1" t="s">
        <v>18</v>
      </c>
      <c r="J45">
        <f>G45/G44</f>
        <v>0.59570332128906389</v>
      </c>
      <c r="K45" t="s">
        <v>58</v>
      </c>
      <c r="L45" s="23">
        <f>(G35/(191.45*50))*1000000</f>
        <v>0.33847149647427527</v>
      </c>
    </row>
    <row r="46" spans="4:12">
      <c r="D46" s="1" t="s">
        <v>16</v>
      </c>
      <c r="G46">
        <f>((1/3*100*100*L42)/1000000)/1000000</f>
        <v>5.5487373733333336E-10</v>
      </c>
      <c r="H46" s="1" t="s">
        <v>17</v>
      </c>
      <c r="J46">
        <f>G46/G44</f>
        <v>4.3691416314620511E-7</v>
      </c>
      <c r="K46" t="s">
        <v>59</v>
      </c>
      <c r="L46" s="23">
        <f>L44/L45</f>
        <v>0.53581206940414372</v>
      </c>
    </row>
    <row r="50" spans="4:12" ht="15" thickBot="1"/>
    <row r="51" spans="4:12" ht="15" thickBot="1">
      <c r="H51" s="63" t="s">
        <v>79</v>
      </c>
      <c r="I51" s="64"/>
    </row>
    <row r="53" spans="4:12">
      <c r="D53" s="14" t="s">
        <v>10</v>
      </c>
      <c r="E53" s="14" t="s">
        <v>0</v>
      </c>
      <c r="F53" s="14" t="s">
        <v>11</v>
      </c>
      <c r="G53" s="14" t="s">
        <v>1</v>
      </c>
      <c r="H53" s="14" t="s">
        <v>12</v>
      </c>
      <c r="I53" s="14" t="s">
        <v>13</v>
      </c>
      <c r="J53" s="14" t="s">
        <v>9</v>
      </c>
      <c r="K53" s="14" t="s">
        <v>2</v>
      </c>
      <c r="L53" s="14" t="s">
        <v>3</v>
      </c>
    </row>
    <row r="54" spans="4:12">
      <c r="D54" s="2"/>
      <c r="E54" s="2"/>
      <c r="F54" s="2"/>
      <c r="G54" s="2"/>
      <c r="H54" s="2"/>
      <c r="I54" s="2"/>
      <c r="J54" s="2"/>
      <c r="K54" s="2"/>
      <c r="L54" s="2"/>
    </row>
    <row r="55" spans="4:12">
      <c r="D55" s="2">
        <v>0</v>
      </c>
      <c r="E55" s="2">
        <v>1</v>
      </c>
      <c r="F55" s="2">
        <v>0</v>
      </c>
      <c r="G55" s="48">
        <v>0</v>
      </c>
      <c r="H55" s="2">
        <v>0</v>
      </c>
      <c r="I55" s="50">
        <f t="shared" ref="I55:I65" si="8">(F55*E55)/1000</f>
        <v>0</v>
      </c>
      <c r="J55" s="12">
        <f>G55*E55</f>
        <v>0</v>
      </c>
      <c r="K55" s="12">
        <f t="shared" ref="K55:K65" si="9">I55*H55*E55</f>
        <v>0</v>
      </c>
      <c r="L55" s="12">
        <f>J55*H55</f>
        <v>0</v>
      </c>
    </row>
    <row r="56" spans="4:12">
      <c r="D56" s="2">
        <v>1</v>
      </c>
      <c r="E56" s="2">
        <v>4</v>
      </c>
      <c r="F56" s="2">
        <v>2.07E-2</v>
      </c>
      <c r="G56" s="48">
        <v>1.0690923999999999E-3</v>
      </c>
      <c r="H56" s="2">
        <v>1</v>
      </c>
      <c r="I56" s="50">
        <f t="shared" si="8"/>
        <v>8.2799999999999993E-5</v>
      </c>
      <c r="J56" s="12">
        <f t="shared" ref="J56:J65" si="10">G56*E56</f>
        <v>4.2763695999999997E-3</v>
      </c>
      <c r="K56" s="12">
        <f t="shared" si="9"/>
        <v>3.3119999999999997E-4</v>
      </c>
      <c r="L56" s="12">
        <f t="shared" ref="L56:L65" si="11">J56*H56</f>
        <v>4.2763695999999997E-3</v>
      </c>
    </row>
    <row r="57" spans="4:12">
      <c r="D57" s="2">
        <v>2</v>
      </c>
      <c r="E57" s="2">
        <v>2</v>
      </c>
      <c r="F57" s="2">
        <v>4.0500000000000001E-2</v>
      </c>
      <c r="G57" s="48">
        <v>2.7255396999999997E-3</v>
      </c>
      <c r="H57" s="2">
        <v>2</v>
      </c>
      <c r="I57" s="50">
        <f t="shared" si="8"/>
        <v>8.1000000000000004E-5</v>
      </c>
      <c r="J57" s="12">
        <f t="shared" si="10"/>
        <v>5.4510793999999994E-3</v>
      </c>
      <c r="K57" s="12">
        <f t="shared" si="9"/>
        <v>3.2400000000000001E-4</v>
      </c>
      <c r="L57" s="12">
        <f t="shared" si="11"/>
        <v>1.0902158799999999E-2</v>
      </c>
    </row>
    <row r="58" spans="4:12">
      <c r="D58" s="2">
        <v>3</v>
      </c>
      <c r="E58" s="2">
        <v>4</v>
      </c>
      <c r="F58" s="2">
        <v>7.0000000000000007E-2</v>
      </c>
      <c r="G58" s="48">
        <v>4.7405582999999994E-3</v>
      </c>
      <c r="H58" s="2">
        <v>3</v>
      </c>
      <c r="I58" s="50">
        <f t="shared" si="8"/>
        <v>2.8000000000000003E-4</v>
      </c>
      <c r="J58" s="12">
        <f t="shared" si="10"/>
        <v>1.8962233199999998E-2</v>
      </c>
      <c r="K58" s="12">
        <f t="shared" si="9"/>
        <v>3.3600000000000001E-3</v>
      </c>
      <c r="L58" s="12">
        <f t="shared" si="11"/>
        <v>5.6886699599999993E-2</v>
      </c>
    </row>
    <row r="59" spans="4:12">
      <c r="D59" s="2">
        <v>4</v>
      </c>
      <c r="E59" s="2">
        <v>2</v>
      </c>
      <c r="F59" s="2">
        <v>0.1125</v>
      </c>
      <c r="G59" s="48">
        <v>7.6565838000000001E-3</v>
      </c>
      <c r="H59" s="2">
        <v>4</v>
      </c>
      <c r="I59" s="50">
        <f t="shared" si="8"/>
        <v>2.2499999999999999E-4</v>
      </c>
      <c r="J59" s="12">
        <f t="shared" si="10"/>
        <v>1.53131676E-2</v>
      </c>
      <c r="K59" s="12">
        <f t="shared" si="9"/>
        <v>1.8E-3</v>
      </c>
      <c r="L59" s="12">
        <f t="shared" si="11"/>
        <v>6.1252670400000001E-2</v>
      </c>
    </row>
    <row r="60" spans="4:12">
      <c r="D60" s="2">
        <v>5</v>
      </c>
      <c r="E60" s="2">
        <v>4</v>
      </c>
      <c r="F60" s="2">
        <v>0.14749999999999999</v>
      </c>
      <c r="G60" s="48">
        <v>9.3656294999999983E-3</v>
      </c>
      <c r="H60" s="2">
        <v>5</v>
      </c>
      <c r="I60" s="50">
        <f t="shared" si="8"/>
        <v>5.8999999999999992E-4</v>
      </c>
      <c r="J60" s="12">
        <f t="shared" si="10"/>
        <v>3.7462517999999993E-2</v>
      </c>
      <c r="K60" s="12">
        <f t="shared" si="9"/>
        <v>1.1799999999999998E-2</v>
      </c>
      <c r="L60" s="12">
        <f t="shared" si="11"/>
        <v>0.18731258999999997</v>
      </c>
    </row>
    <row r="61" spans="4:12">
      <c r="D61" s="2">
        <v>6</v>
      </c>
      <c r="E61" s="2">
        <v>2</v>
      </c>
      <c r="F61" s="2">
        <v>0.151</v>
      </c>
      <c r="G61" s="48">
        <v>9.1323611999999995E-3</v>
      </c>
      <c r="H61" s="2">
        <v>6</v>
      </c>
      <c r="I61" s="50">
        <f t="shared" si="8"/>
        <v>3.0199999999999997E-4</v>
      </c>
      <c r="J61" s="12">
        <f t="shared" si="10"/>
        <v>1.8264722399999999E-2</v>
      </c>
      <c r="K61" s="12">
        <f t="shared" si="9"/>
        <v>3.6239999999999996E-3</v>
      </c>
      <c r="L61" s="12">
        <f t="shared" si="11"/>
        <v>0.10958833439999999</v>
      </c>
    </row>
    <row r="62" spans="4:12">
      <c r="D62" s="2">
        <v>7</v>
      </c>
      <c r="E62" s="2">
        <v>4</v>
      </c>
      <c r="F62" s="2">
        <v>0.14949999999999999</v>
      </c>
      <c r="G62" s="48">
        <v>7.6837925999999994E-3</v>
      </c>
      <c r="H62" s="2">
        <v>7</v>
      </c>
      <c r="I62" s="50">
        <f t="shared" si="8"/>
        <v>5.9800000000000001E-4</v>
      </c>
      <c r="J62" s="12">
        <f t="shared" si="10"/>
        <v>3.0735170399999998E-2</v>
      </c>
      <c r="K62" s="12">
        <f t="shared" si="9"/>
        <v>1.6744000000000002E-2</v>
      </c>
      <c r="L62" s="12">
        <f t="shared" si="11"/>
        <v>0.21514619279999997</v>
      </c>
    </row>
    <row r="63" spans="4:12">
      <c r="D63" s="2">
        <v>8</v>
      </c>
      <c r="E63" s="2">
        <v>2</v>
      </c>
      <c r="F63" s="2">
        <v>0.14499999999999999</v>
      </c>
      <c r="G63" s="48">
        <v>5.3070653000000002E-3</v>
      </c>
      <c r="H63" s="2">
        <v>8</v>
      </c>
      <c r="I63" s="50">
        <f t="shared" si="8"/>
        <v>2.9E-4</v>
      </c>
      <c r="J63" s="12">
        <f t="shared" si="10"/>
        <v>1.06141306E-2</v>
      </c>
      <c r="K63" s="12">
        <f t="shared" si="9"/>
        <v>4.64E-3</v>
      </c>
      <c r="L63" s="12">
        <f t="shared" si="11"/>
        <v>8.4913044800000004E-2</v>
      </c>
    </row>
    <row r="64" spans="4:12">
      <c r="D64" s="2">
        <v>9</v>
      </c>
      <c r="E64" s="2">
        <v>4</v>
      </c>
      <c r="F64" s="2">
        <v>0.14000000000000001</v>
      </c>
      <c r="G64" s="48">
        <v>3.5621250000000002E-3</v>
      </c>
      <c r="H64" s="2">
        <v>9</v>
      </c>
      <c r="I64" s="50">
        <f t="shared" si="8"/>
        <v>5.6000000000000006E-4</v>
      </c>
      <c r="J64" s="12">
        <f t="shared" si="10"/>
        <v>1.4248500000000001E-2</v>
      </c>
      <c r="K64" s="12">
        <f t="shared" si="9"/>
        <v>2.0160000000000001E-2</v>
      </c>
      <c r="L64" s="12">
        <f t="shared" si="11"/>
        <v>0.1282365</v>
      </c>
    </row>
    <row r="65" spans="4:12">
      <c r="D65" s="2">
        <v>10</v>
      </c>
      <c r="E65" s="2">
        <v>1</v>
      </c>
      <c r="F65" s="2">
        <v>0.13550000000000001</v>
      </c>
      <c r="G65" s="48">
        <v>2.2114801000000001E-3</v>
      </c>
      <c r="H65" s="2">
        <v>10</v>
      </c>
      <c r="I65" s="50">
        <f t="shared" si="8"/>
        <v>1.3550000000000001E-4</v>
      </c>
      <c r="J65" s="12">
        <f t="shared" si="10"/>
        <v>2.2114801000000001E-3</v>
      </c>
      <c r="K65" s="12">
        <f t="shared" si="9"/>
        <v>1.3550000000000001E-3</v>
      </c>
      <c r="L65" s="12">
        <f t="shared" si="11"/>
        <v>2.2114801E-2</v>
      </c>
    </row>
    <row r="66" spans="4:12">
      <c r="D66" s="2"/>
      <c r="E66" s="2"/>
      <c r="F66" s="2"/>
      <c r="G66" s="2"/>
      <c r="H66" s="2"/>
      <c r="I66" s="2"/>
      <c r="J66" s="11"/>
      <c r="K66" s="11"/>
      <c r="L66" s="11"/>
    </row>
    <row r="67" spans="4:12">
      <c r="D67" s="2"/>
      <c r="E67" s="2"/>
      <c r="F67" s="2"/>
      <c r="G67" s="2"/>
      <c r="H67" s="2"/>
      <c r="I67" s="15"/>
      <c r="J67" s="12">
        <f>SUM(J55:J65)</f>
        <v>0.15753937129999998</v>
      </c>
      <c r="K67" s="12">
        <f>SUM(K55:K65)</f>
        <v>6.4138199999999992E-2</v>
      </c>
      <c r="L67" s="12">
        <f>SUM(L55:L65)</f>
        <v>0.88062936139999981</v>
      </c>
    </row>
    <row r="69" spans="4:12">
      <c r="D69" s="1" t="s">
        <v>14</v>
      </c>
      <c r="G69">
        <f>(1/3*100*J67)/1000</f>
        <v>5.251312376666665E-3</v>
      </c>
      <c r="H69" s="1" t="s">
        <v>19</v>
      </c>
      <c r="J69">
        <f>1.025*G69</f>
        <v>5.3825951860833315E-3</v>
      </c>
      <c r="K69" s="1" t="s">
        <v>20</v>
      </c>
      <c r="L69" s="23">
        <f>('Part-1'!G69/(989.5*298.91*75))*1000000000</f>
        <v>0.23672839126020273</v>
      </c>
    </row>
    <row r="70" spans="4:12">
      <c r="D70" s="1" t="s">
        <v>15</v>
      </c>
      <c r="G70">
        <f>(1/3*100*K67)/1000</f>
        <v>2.1379399999999996E-3</v>
      </c>
      <c r="H70" s="1" t="s">
        <v>18</v>
      </c>
      <c r="J70">
        <f>G70/G69</f>
        <v>0.40712489500711885</v>
      </c>
      <c r="K70" t="s">
        <v>58</v>
      </c>
      <c r="L70" s="23">
        <f>(G60/(298.91*75))*1000000</f>
        <v>0.41776809072965093</v>
      </c>
    </row>
    <row r="71" spans="4:12">
      <c r="D71" s="1" t="s">
        <v>16</v>
      </c>
      <c r="G71">
        <f>(1/3*100*100*L67)/1000000</f>
        <v>2.9354312046666661E-3</v>
      </c>
      <c r="H71" s="1" t="s">
        <v>17</v>
      </c>
      <c r="J71">
        <f>G71/G69</f>
        <v>0.55899001889694611</v>
      </c>
      <c r="K71" t="s">
        <v>60</v>
      </c>
      <c r="L71" s="23">
        <f>L69/L70</f>
        <v>0.56665024570628608</v>
      </c>
    </row>
    <row r="74" spans="4:12" ht="15" thickBot="1"/>
    <row r="75" spans="4:12" ht="15" thickBot="1">
      <c r="D75" s="10"/>
      <c r="E75" s="10"/>
      <c r="F75" s="10"/>
      <c r="G75" s="10"/>
      <c r="H75" s="65" t="s">
        <v>76</v>
      </c>
      <c r="I75" s="66"/>
      <c r="J75" s="10"/>
      <c r="K75" s="10"/>
      <c r="L75" s="10"/>
    </row>
    <row r="76" spans="4:12">
      <c r="D76" s="10"/>
      <c r="E76" s="10"/>
      <c r="F76" s="10"/>
      <c r="G76" s="10"/>
      <c r="H76" s="10"/>
      <c r="I76" s="10"/>
      <c r="J76" s="10"/>
      <c r="K76" s="10"/>
      <c r="L76" s="10"/>
    </row>
    <row r="77" spans="4:12">
      <c r="D77" s="14" t="s">
        <v>10</v>
      </c>
      <c r="E77" s="14" t="s">
        <v>0</v>
      </c>
      <c r="F77" s="14" t="s">
        <v>11</v>
      </c>
      <c r="G77" s="14" t="s">
        <v>1</v>
      </c>
      <c r="H77" s="14" t="s">
        <v>12</v>
      </c>
      <c r="I77" s="14" t="s">
        <v>13</v>
      </c>
      <c r="J77" s="14" t="s">
        <v>9</v>
      </c>
      <c r="K77" s="14" t="s">
        <v>2</v>
      </c>
      <c r="L77" s="14" t="s">
        <v>3</v>
      </c>
    </row>
    <row r="78" spans="4:12">
      <c r="D78" s="2"/>
      <c r="E78" s="2"/>
      <c r="F78" s="2"/>
      <c r="G78" s="2"/>
      <c r="H78" s="2"/>
      <c r="I78" s="2"/>
      <c r="J78" s="2"/>
      <c r="K78" s="2"/>
      <c r="L78" s="2"/>
    </row>
    <row r="79" spans="4:12">
      <c r="D79" s="2">
        <v>0</v>
      </c>
      <c r="E79" s="2">
        <v>1</v>
      </c>
      <c r="F79" s="2">
        <v>3.5000000000000001E-3</v>
      </c>
      <c r="G79" s="51">
        <v>3.7608800000000005E-5</v>
      </c>
      <c r="H79" s="2">
        <v>0</v>
      </c>
      <c r="I79" s="50">
        <f t="shared" ref="I79:I89" si="12">(F79*E79)/1000</f>
        <v>3.4999999999999999E-6</v>
      </c>
      <c r="J79" s="12">
        <f>G79*E79</f>
        <v>3.7608800000000005E-5</v>
      </c>
      <c r="K79" s="12">
        <f t="shared" ref="K79:K89" si="13">I79*H79*E79</f>
        <v>0</v>
      </c>
      <c r="L79" s="12">
        <f>J79*H79</f>
        <v>0</v>
      </c>
    </row>
    <row r="80" spans="4:12">
      <c r="D80" s="2">
        <v>1</v>
      </c>
      <c r="E80" s="2">
        <v>4</v>
      </c>
      <c r="F80" s="2">
        <v>3.5799999999999998E-2</v>
      </c>
      <c r="G80" s="51">
        <v>2.4597627000000001E-3</v>
      </c>
      <c r="H80" s="2">
        <v>1</v>
      </c>
      <c r="I80" s="50">
        <f t="shared" si="12"/>
        <v>1.4319999999999998E-4</v>
      </c>
      <c r="J80" s="12">
        <f t="shared" ref="J80:J89" si="14">G80*E80</f>
        <v>9.8390508000000005E-3</v>
      </c>
      <c r="K80" s="12">
        <f t="shared" si="13"/>
        <v>5.7279999999999994E-4</v>
      </c>
      <c r="L80" s="12">
        <f t="shared" ref="L80:L89" si="15">J80*H80</f>
        <v>9.8390508000000005E-3</v>
      </c>
    </row>
    <row r="81" spans="4:12">
      <c r="D81" s="2">
        <v>2</v>
      </c>
      <c r="E81" s="2">
        <v>2</v>
      </c>
      <c r="F81" s="2">
        <v>6.5700000000000008E-2</v>
      </c>
      <c r="G81" s="51">
        <v>5.3261860999999997E-3</v>
      </c>
      <c r="H81" s="2">
        <v>2</v>
      </c>
      <c r="I81" s="50">
        <f t="shared" si="12"/>
        <v>1.3140000000000002E-4</v>
      </c>
      <c r="J81" s="12">
        <f t="shared" si="14"/>
        <v>1.0652372199999999E-2</v>
      </c>
      <c r="K81" s="12">
        <f t="shared" si="13"/>
        <v>5.2560000000000009E-4</v>
      </c>
      <c r="L81" s="12">
        <f t="shared" si="15"/>
        <v>2.1304744399999999E-2</v>
      </c>
    </row>
    <row r="82" spans="4:12">
      <c r="D82" s="2">
        <v>3</v>
      </c>
      <c r="E82" s="2">
        <v>4</v>
      </c>
      <c r="F82" s="2">
        <v>0.111</v>
      </c>
      <c r="G82" s="51">
        <v>9.1557462000000003E-3</v>
      </c>
      <c r="H82" s="2">
        <v>3</v>
      </c>
      <c r="I82" s="50">
        <f t="shared" si="12"/>
        <v>4.44E-4</v>
      </c>
      <c r="J82" s="12">
        <f t="shared" si="14"/>
        <v>3.6622984800000001E-2</v>
      </c>
      <c r="K82" s="12">
        <f t="shared" si="13"/>
        <v>5.3280000000000003E-3</v>
      </c>
      <c r="L82" s="12">
        <f t="shared" si="15"/>
        <v>0.1098689544</v>
      </c>
    </row>
    <row r="83" spans="4:12">
      <c r="D83" s="2">
        <v>4</v>
      </c>
      <c r="E83" s="2">
        <v>2</v>
      </c>
      <c r="F83" s="2">
        <v>0.14299999999999999</v>
      </c>
      <c r="G83" s="51">
        <v>1.4553119600000001E-2</v>
      </c>
      <c r="H83" s="2">
        <v>4</v>
      </c>
      <c r="I83" s="50">
        <f t="shared" si="12"/>
        <v>2.8599999999999996E-4</v>
      </c>
      <c r="J83" s="12">
        <f t="shared" si="14"/>
        <v>2.9106239200000002E-2</v>
      </c>
      <c r="K83" s="12">
        <f t="shared" si="13"/>
        <v>2.2879999999999997E-3</v>
      </c>
      <c r="L83" s="12">
        <f t="shared" si="15"/>
        <v>0.11642495680000001</v>
      </c>
    </row>
    <row r="84" spans="4:12">
      <c r="D84" s="2">
        <v>5</v>
      </c>
      <c r="E84" s="2">
        <v>4</v>
      </c>
      <c r="F84" s="2">
        <v>0.1545</v>
      </c>
      <c r="G84" s="51">
        <v>1.6962201099999998E-2</v>
      </c>
      <c r="H84" s="2">
        <v>5</v>
      </c>
      <c r="I84" s="50">
        <f t="shared" si="12"/>
        <v>6.1799999999999995E-4</v>
      </c>
      <c r="J84" s="12">
        <f t="shared" si="14"/>
        <v>6.784880439999999E-2</v>
      </c>
      <c r="K84" s="12">
        <f t="shared" si="13"/>
        <v>1.2359999999999999E-2</v>
      </c>
      <c r="L84" s="12">
        <f t="shared" si="15"/>
        <v>0.33924402199999992</v>
      </c>
    </row>
    <row r="85" spans="4:12">
      <c r="D85" s="2">
        <v>6</v>
      </c>
      <c r="E85" s="2">
        <v>2</v>
      </c>
      <c r="F85" s="2">
        <v>0.1545</v>
      </c>
      <c r="G85" s="51">
        <v>1.67789811E-2</v>
      </c>
      <c r="H85" s="2">
        <v>6</v>
      </c>
      <c r="I85" s="50">
        <f t="shared" si="12"/>
        <v>3.0899999999999998E-4</v>
      </c>
      <c r="J85" s="12">
        <f t="shared" si="14"/>
        <v>3.3557962199999999E-2</v>
      </c>
      <c r="K85" s="12">
        <f t="shared" si="13"/>
        <v>3.7079999999999995E-3</v>
      </c>
      <c r="L85" s="12">
        <f t="shared" si="15"/>
        <v>0.2013477732</v>
      </c>
    </row>
    <row r="86" spans="4:12">
      <c r="D86" s="2">
        <v>7</v>
      </c>
      <c r="E86" s="2">
        <v>4</v>
      </c>
      <c r="F86" s="2">
        <v>0.1535</v>
      </c>
      <c r="G86" s="51">
        <v>1.5221087900000001E-2</v>
      </c>
      <c r="H86" s="2">
        <v>7</v>
      </c>
      <c r="I86" s="50">
        <f t="shared" si="12"/>
        <v>6.1399999999999996E-4</v>
      </c>
      <c r="J86" s="12">
        <f t="shared" si="14"/>
        <v>6.0884351600000004E-2</v>
      </c>
      <c r="K86" s="12">
        <f t="shared" si="13"/>
        <v>1.7191999999999999E-2</v>
      </c>
      <c r="L86" s="12">
        <f t="shared" si="15"/>
        <v>0.42619046120000004</v>
      </c>
    </row>
    <row r="87" spans="4:12">
      <c r="D87" s="2">
        <v>8</v>
      </c>
      <c r="E87" s="2">
        <v>2</v>
      </c>
      <c r="F87" s="2">
        <v>0.14849999999999999</v>
      </c>
      <c r="G87" s="51">
        <v>1.2645743399999999E-2</v>
      </c>
      <c r="H87" s="2">
        <v>8</v>
      </c>
      <c r="I87" s="50">
        <f t="shared" si="12"/>
        <v>2.9700000000000001E-4</v>
      </c>
      <c r="J87" s="12">
        <f t="shared" si="14"/>
        <v>2.5291486799999999E-2</v>
      </c>
      <c r="K87" s="12">
        <f t="shared" si="13"/>
        <v>4.7520000000000001E-3</v>
      </c>
      <c r="L87" s="12">
        <f t="shared" si="15"/>
        <v>0.20233189439999999</v>
      </c>
    </row>
    <row r="88" spans="4:12">
      <c r="D88" s="2">
        <v>9</v>
      </c>
      <c r="E88" s="2">
        <v>4</v>
      </c>
      <c r="F88" s="2">
        <v>0.14299999999999999</v>
      </c>
      <c r="G88" s="51">
        <v>1.06171887E-2</v>
      </c>
      <c r="H88" s="2">
        <v>9</v>
      </c>
      <c r="I88" s="50">
        <f t="shared" si="12"/>
        <v>5.7199999999999992E-4</v>
      </c>
      <c r="J88" s="12">
        <f t="shared" si="14"/>
        <v>4.2468754800000001E-2</v>
      </c>
      <c r="K88" s="12">
        <f t="shared" si="13"/>
        <v>2.0591999999999996E-2</v>
      </c>
      <c r="L88" s="12">
        <f t="shared" si="15"/>
        <v>0.38221879320000002</v>
      </c>
    </row>
    <row r="89" spans="4:12">
      <c r="D89" s="2">
        <v>10</v>
      </c>
      <c r="E89" s="2">
        <v>1</v>
      </c>
      <c r="F89" s="2">
        <v>0.13900000000000001</v>
      </c>
      <c r="G89" s="51">
        <v>9.0641991999999994E-3</v>
      </c>
      <c r="H89" s="2">
        <v>10</v>
      </c>
      <c r="I89" s="50">
        <f t="shared" si="12"/>
        <v>1.3900000000000002E-4</v>
      </c>
      <c r="J89" s="12">
        <f t="shared" si="14"/>
        <v>9.0641991999999994E-3</v>
      </c>
      <c r="K89" s="12">
        <f t="shared" si="13"/>
        <v>1.3900000000000002E-3</v>
      </c>
      <c r="L89" s="12">
        <f t="shared" si="15"/>
        <v>9.0641991999999991E-2</v>
      </c>
    </row>
    <row r="90" spans="4:12">
      <c r="D90" s="2"/>
      <c r="E90" s="2"/>
      <c r="F90" s="2"/>
      <c r="G90" s="2"/>
      <c r="H90" s="2"/>
      <c r="I90" s="2"/>
      <c r="J90" s="11"/>
      <c r="K90" s="11"/>
      <c r="L90" s="11"/>
    </row>
    <row r="91" spans="4:12">
      <c r="D91" s="2"/>
      <c r="E91" s="2"/>
      <c r="F91" s="2"/>
      <c r="G91" s="2"/>
      <c r="H91" s="2"/>
      <c r="I91" s="15"/>
      <c r="J91" s="12">
        <f>SUM(J79:J89)</f>
        <v>0.32537381479999999</v>
      </c>
      <c r="K91" s="12">
        <f>SUM(K79:K89)</f>
        <v>6.8708399999999989E-2</v>
      </c>
      <c r="L91" s="12">
        <f>SUM(L79:L89)</f>
        <v>1.8994126423999997</v>
      </c>
    </row>
    <row r="93" spans="4:12">
      <c r="D93" s="1" t="s">
        <v>14</v>
      </c>
      <c r="G93">
        <f>(1/3*100*J91)/1000</f>
        <v>1.0845793826666665E-2</v>
      </c>
      <c r="H93" s="1" t="s">
        <v>19</v>
      </c>
      <c r="J93">
        <f>1.025*G93</f>
        <v>1.1116938672333331E-2</v>
      </c>
      <c r="K93" s="1" t="s">
        <v>20</v>
      </c>
      <c r="L93" s="23">
        <f>(G93/(1017*305.91*100))*1000000000</f>
        <v>0.34861551996841067</v>
      </c>
    </row>
    <row r="94" spans="4:12">
      <c r="D94" s="1" t="s">
        <v>15</v>
      </c>
      <c r="G94">
        <f>(1/3*100*K91)/1000</f>
        <v>2.2902799999999991E-3</v>
      </c>
      <c r="H94" s="1" t="s">
        <v>18</v>
      </c>
      <c r="J94">
        <f>G94/G93</f>
        <v>0.2111675767216655</v>
      </c>
      <c r="K94" t="s">
        <v>58</v>
      </c>
      <c r="L94" s="23">
        <f>(G84/(305.91*100))*1000000</f>
        <v>0.55448338073289516</v>
      </c>
    </row>
    <row r="95" spans="4:12">
      <c r="D95" s="1" t="s">
        <v>16</v>
      </c>
      <c r="G95">
        <f>(1/3*100*100*L91)/1000000</f>
        <v>6.3313754746666655E-3</v>
      </c>
      <c r="H95" s="1" t="s">
        <v>17</v>
      </c>
      <c r="J95">
        <f>G95/G93</f>
        <v>0.58376321510922025</v>
      </c>
      <c r="K95" t="s">
        <v>59</v>
      </c>
      <c r="L95" s="23">
        <f>L93/L94</f>
        <v>0.62872131443799784</v>
      </c>
    </row>
    <row r="97" spans="4:12" ht="15" thickBot="1"/>
    <row r="98" spans="4:12" ht="15" thickBot="1">
      <c r="H98" s="63" t="s">
        <v>77</v>
      </c>
      <c r="I98" s="64"/>
    </row>
    <row r="100" spans="4:12">
      <c r="D100" s="14" t="s">
        <v>10</v>
      </c>
      <c r="E100" s="14" t="s">
        <v>0</v>
      </c>
      <c r="F100" s="14" t="s">
        <v>11</v>
      </c>
      <c r="G100" s="14" t="s">
        <v>1</v>
      </c>
      <c r="H100" s="14" t="s">
        <v>12</v>
      </c>
      <c r="I100" s="14" t="s">
        <v>13</v>
      </c>
      <c r="J100" s="14" t="s">
        <v>9</v>
      </c>
      <c r="K100" s="14" t="s">
        <v>2</v>
      </c>
      <c r="L100" s="14" t="s">
        <v>3</v>
      </c>
    </row>
    <row r="101" spans="4:12">
      <c r="D101" s="2"/>
      <c r="E101" s="2"/>
      <c r="F101" s="2"/>
      <c r="G101" s="2"/>
      <c r="H101" s="2"/>
      <c r="I101" s="2"/>
      <c r="J101" s="2"/>
      <c r="K101" s="2"/>
      <c r="L101" s="2"/>
    </row>
    <row r="102" spans="4:12">
      <c r="D102" s="2">
        <v>0</v>
      </c>
      <c r="E102" s="2">
        <v>1</v>
      </c>
      <c r="F102" s="2">
        <v>1.4500000000000001E-2</v>
      </c>
      <c r="G102" s="48">
        <v>4.697514E-4</v>
      </c>
      <c r="H102" s="2">
        <v>0</v>
      </c>
      <c r="I102" s="50">
        <f t="shared" ref="I102:I112" si="16">(F102*E102)/1000</f>
        <v>1.45E-5</v>
      </c>
      <c r="J102" s="12">
        <f>G102*E102</f>
        <v>4.697514E-4</v>
      </c>
      <c r="K102" s="12">
        <f t="shared" ref="K102:K112" si="17">I102*H102*E102</f>
        <v>0</v>
      </c>
      <c r="L102" s="12">
        <f>J102*H102</f>
        <v>0</v>
      </c>
    </row>
    <row r="103" spans="4:12">
      <c r="D103" s="2">
        <v>1</v>
      </c>
      <c r="E103" s="2">
        <v>4</v>
      </c>
      <c r="F103" s="2">
        <v>5.8599999999999999E-2</v>
      </c>
      <c r="G103" s="48">
        <v>4.7720649000000002E-3</v>
      </c>
      <c r="H103" s="2">
        <v>1</v>
      </c>
      <c r="I103" s="50">
        <f t="shared" si="16"/>
        <v>2.3440000000000001E-4</v>
      </c>
      <c r="J103" s="12">
        <f t="shared" ref="J103:J112" si="18">G103*E103</f>
        <v>1.9088259600000001E-2</v>
      </c>
      <c r="K103" s="12">
        <f t="shared" si="17"/>
        <v>9.3760000000000002E-4</v>
      </c>
      <c r="L103" s="12">
        <f t="shared" ref="L103:L112" si="19">J103*H103</f>
        <v>1.9088259600000001E-2</v>
      </c>
    </row>
    <row r="104" spans="4:12">
      <c r="D104" s="2">
        <v>2</v>
      </c>
      <c r="E104" s="2">
        <v>2</v>
      </c>
      <c r="F104" s="2">
        <v>0.1115</v>
      </c>
      <c r="G104" s="48">
        <v>9.6450645999999994E-3</v>
      </c>
      <c r="H104" s="2">
        <v>2</v>
      </c>
      <c r="I104" s="50">
        <f t="shared" si="16"/>
        <v>2.23E-4</v>
      </c>
      <c r="J104" s="12">
        <f t="shared" si="18"/>
        <v>1.9290129199999999E-2</v>
      </c>
      <c r="K104" s="12">
        <f t="shared" si="17"/>
        <v>8.92E-4</v>
      </c>
      <c r="L104" s="12">
        <f t="shared" si="19"/>
        <v>3.8580258399999998E-2</v>
      </c>
    </row>
    <row r="105" spans="4:12">
      <c r="D105" s="2">
        <v>3</v>
      </c>
      <c r="E105" s="2">
        <v>4</v>
      </c>
      <c r="F105" s="2">
        <v>0.13400000000000001</v>
      </c>
      <c r="G105" s="48">
        <v>1.56096156E-2</v>
      </c>
      <c r="H105" s="2">
        <v>3</v>
      </c>
      <c r="I105" s="50">
        <f t="shared" si="16"/>
        <v>5.3600000000000002E-4</v>
      </c>
      <c r="J105" s="12">
        <f t="shared" si="18"/>
        <v>6.2438462399999999E-2</v>
      </c>
      <c r="K105" s="12">
        <f t="shared" si="17"/>
        <v>6.4320000000000002E-3</v>
      </c>
      <c r="L105" s="12">
        <f t="shared" si="19"/>
        <v>0.18731538719999999</v>
      </c>
    </row>
    <row r="106" spans="4:12">
      <c r="D106" s="2">
        <v>4</v>
      </c>
      <c r="E106" s="2">
        <v>2</v>
      </c>
      <c r="F106" s="2">
        <v>0.14799999999999999</v>
      </c>
      <c r="G106" s="48">
        <v>2.20640808E-2</v>
      </c>
      <c r="H106" s="2">
        <v>4</v>
      </c>
      <c r="I106" s="50">
        <f t="shared" si="16"/>
        <v>2.9599999999999998E-4</v>
      </c>
      <c r="J106" s="12">
        <f t="shared" si="18"/>
        <v>4.41281616E-2</v>
      </c>
      <c r="K106" s="12">
        <f t="shared" si="17"/>
        <v>2.3679999999999999E-3</v>
      </c>
      <c r="L106" s="12">
        <f t="shared" si="19"/>
        <v>0.1765126464</v>
      </c>
    </row>
    <row r="107" spans="4:12">
      <c r="D107" s="2">
        <v>5</v>
      </c>
      <c r="E107" s="2">
        <v>4</v>
      </c>
      <c r="F107" s="2">
        <v>0.155</v>
      </c>
      <c r="G107" s="48">
        <v>2.47408896E-2</v>
      </c>
      <c r="H107" s="2">
        <v>5</v>
      </c>
      <c r="I107" s="50">
        <f t="shared" si="16"/>
        <v>6.2E-4</v>
      </c>
      <c r="J107" s="12">
        <f t="shared" si="18"/>
        <v>9.8963558399999998E-2</v>
      </c>
      <c r="K107" s="12">
        <f t="shared" si="17"/>
        <v>1.24E-2</v>
      </c>
      <c r="L107" s="12">
        <f t="shared" si="19"/>
        <v>0.49481779199999998</v>
      </c>
    </row>
    <row r="108" spans="4:12">
      <c r="D108" s="2">
        <v>6</v>
      </c>
      <c r="E108" s="2">
        <v>2</v>
      </c>
      <c r="F108" s="2">
        <v>0.158</v>
      </c>
      <c r="G108" s="48">
        <v>2.45821884E-2</v>
      </c>
      <c r="H108" s="2">
        <v>6</v>
      </c>
      <c r="I108" s="50">
        <f t="shared" si="16"/>
        <v>3.1599999999999998E-4</v>
      </c>
      <c r="J108" s="12">
        <f t="shared" si="18"/>
        <v>4.9164376799999999E-2</v>
      </c>
      <c r="K108" s="12">
        <f t="shared" si="17"/>
        <v>3.7919999999999998E-3</v>
      </c>
      <c r="L108" s="12">
        <f t="shared" si="19"/>
        <v>0.29498626080000001</v>
      </c>
    </row>
    <row r="109" spans="4:12">
      <c r="D109" s="2">
        <v>7</v>
      </c>
      <c r="E109" s="2">
        <v>4</v>
      </c>
      <c r="F109" s="2">
        <v>0.1555</v>
      </c>
      <c r="G109" s="48">
        <v>2.2911903900000002E-2</v>
      </c>
      <c r="H109" s="2">
        <v>7</v>
      </c>
      <c r="I109" s="50">
        <f t="shared" si="16"/>
        <v>6.2200000000000005E-4</v>
      </c>
      <c r="J109" s="12">
        <f t="shared" si="18"/>
        <v>9.164761560000001E-2</v>
      </c>
      <c r="K109" s="12">
        <f t="shared" si="17"/>
        <v>1.7416000000000001E-2</v>
      </c>
      <c r="L109" s="12">
        <f t="shared" si="19"/>
        <v>0.64153330920000007</v>
      </c>
    </row>
    <row r="110" spans="4:12">
      <c r="D110" s="2">
        <v>8</v>
      </c>
      <c r="E110" s="2">
        <v>2</v>
      </c>
      <c r="F110" s="2">
        <v>0.1515</v>
      </c>
      <c r="G110" s="48">
        <v>2.01343101E-2</v>
      </c>
      <c r="H110" s="2">
        <v>8</v>
      </c>
      <c r="I110" s="50">
        <f t="shared" si="16"/>
        <v>3.0299999999999999E-4</v>
      </c>
      <c r="J110" s="12">
        <f t="shared" si="18"/>
        <v>4.0268620200000001E-2</v>
      </c>
      <c r="K110" s="12">
        <f t="shared" si="17"/>
        <v>4.8479999999999999E-3</v>
      </c>
      <c r="L110" s="12">
        <f t="shared" si="19"/>
        <v>0.32214896160000001</v>
      </c>
    </row>
    <row r="111" spans="4:12">
      <c r="D111" s="2">
        <v>9</v>
      </c>
      <c r="E111" s="2">
        <v>4</v>
      </c>
      <c r="F111" s="2">
        <v>0.14649999999999999</v>
      </c>
      <c r="G111" s="48">
        <v>1.7838629599999999E-2</v>
      </c>
      <c r="H111" s="2">
        <v>9</v>
      </c>
      <c r="I111" s="50">
        <f t="shared" si="16"/>
        <v>5.8599999999999993E-4</v>
      </c>
      <c r="J111" s="12">
        <f t="shared" si="18"/>
        <v>7.1354518399999997E-2</v>
      </c>
      <c r="K111" s="12">
        <f t="shared" si="17"/>
        <v>2.1095999999999997E-2</v>
      </c>
      <c r="L111" s="12">
        <f t="shared" si="19"/>
        <v>0.64219066559999993</v>
      </c>
    </row>
    <row r="112" spans="4:12">
      <c r="D112" s="2">
        <v>10</v>
      </c>
      <c r="E112" s="2">
        <v>1</v>
      </c>
      <c r="F112" s="2">
        <v>0.14349999999999999</v>
      </c>
      <c r="G112" s="48">
        <v>1.6084969599999999E-2</v>
      </c>
      <c r="H112" s="2">
        <v>10</v>
      </c>
      <c r="I112" s="50">
        <f t="shared" si="16"/>
        <v>1.4349999999999999E-4</v>
      </c>
      <c r="J112" s="12">
        <f t="shared" si="18"/>
        <v>1.6084969599999999E-2</v>
      </c>
      <c r="K112" s="12">
        <f t="shared" si="17"/>
        <v>1.4349999999999999E-3</v>
      </c>
      <c r="L112" s="12">
        <f t="shared" si="19"/>
        <v>0.16084969599999999</v>
      </c>
    </row>
    <row r="113" spans="4:12">
      <c r="D113" s="2"/>
      <c r="E113" s="2"/>
      <c r="F113" s="2"/>
      <c r="G113" s="2"/>
      <c r="H113" s="2"/>
      <c r="I113" s="2"/>
      <c r="J113" s="11"/>
      <c r="K113" s="11"/>
      <c r="L113" s="11"/>
    </row>
    <row r="114" spans="4:12">
      <c r="D114" s="2"/>
      <c r="E114" s="2"/>
      <c r="F114" s="2"/>
      <c r="G114" s="2"/>
      <c r="H114" s="2"/>
      <c r="I114" s="15"/>
      <c r="J114" s="12">
        <f>SUM(J102:J112)</f>
        <v>0.51289842320000001</v>
      </c>
      <c r="K114" s="12">
        <f>SUM(K102:K112)</f>
        <v>7.1616600000000002E-2</v>
      </c>
      <c r="L114" s="12">
        <f>SUM(L102:L112)</f>
        <v>2.9780232367999999</v>
      </c>
    </row>
    <row r="116" spans="4:12">
      <c r="D116" s="1" t="s">
        <v>14</v>
      </c>
      <c r="G116">
        <f>(1/3*100*J114)/1000</f>
        <v>1.7096614106666665E-2</v>
      </c>
      <c r="H116" s="1" t="s">
        <v>19</v>
      </c>
      <c r="J116">
        <f>1.025*G116</f>
        <v>1.7524029459333328E-2</v>
      </c>
      <c r="K116" s="1" t="s">
        <v>20</v>
      </c>
      <c r="L116" s="23">
        <f>(G116/(1040*312.92*125))*1000000000</f>
        <v>0.42027488241444522</v>
      </c>
    </row>
    <row r="117" spans="4:12">
      <c r="D117" s="1" t="s">
        <v>15</v>
      </c>
      <c r="G117">
        <f>(1/3*100*K114)/1000</f>
        <v>2.3872199999999998E-3</v>
      </c>
      <c r="H117" s="1" t="s">
        <v>18</v>
      </c>
      <c r="J117">
        <f>G117/G116</f>
        <v>0.13963115650303681</v>
      </c>
      <c r="K117" t="s">
        <v>58</v>
      </c>
      <c r="L117" s="23">
        <f>(G107/(312.92*125))*1000000</f>
        <v>0.6325166713537006</v>
      </c>
    </row>
    <row r="118" spans="4:12">
      <c r="D118" s="1" t="s">
        <v>16</v>
      </c>
      <c r="G118">
        <f>(1/3*100*100*L114)/1000000</f>
        <v>9.9267441226666645E-3</v>
      </c>
      <c r="H118" s="1" t="s">
        <v>17</v>
      </c>
      <c r="J118">
        <f>G118/G116</f>
        <v>0.5806263193830774</v>
      </c>
      <c r="K118" t="s">
        <v>59</v>
      </c>
      <c r="L118" s="23">
        <f>L116/L117</f>
        <v>0.66444870380251098</v>
      </c>
    </row>
    <row r="121" spans="4:12" ht="15" thickBot="1"/>
    <row r="122" spans="4:12" ht="15" thickBot="1">
      <c r="H122" s="63" t="s">
        <v>78</v>
      </c>
      <c r="I122" s="64"/>
    </row>
    <row r="124" spans="4:12">
      <c r="D124" s="14" t="s">
        <v>10</v>
      </c>
      <c r="E124" s="14" t="s">
        <v>0</v>
      </c>
      <c r="F124" s="14" t="s">
        <v>11</v>
      </c>
      <c r="G124" s="14" t="s">
        <v>1</v>
      </c>
      <c r="H124" s="14" t="s">
        <v>12</v>
      </c>
      <c r="I124" s="14" t="s">
        <v>13</v>
      </c>
      <c r="J124" s="14" t="s">
        <v>9</v>
      </c>
      <c r="K124" s="14" t="s">
        <v>2</v>
      </c>
      <c r="L124" s="14" t="s">
        <v>3</v>
      </c>
    </row>
    <row r="125" spans="4:12">
      <c r="D125" s="2"/>
      <c r="E125" s="2"/>
      <c r="F125" s="2"/>
      <c r="G125" s="2"/>
      <c r="H125" s="2"/>
      <c r="I125" s="2"/>
      <c r="J125" s="2"/>
      <c r="K125" s="2"/>
      <c r="L125" s="2"/>
    </row>
    <row r="126" spans="4:12">
      <c r="D126" s="2">
        <v>0</v>
      </c>
      <c r="E126" s="2">
        <v>1</v>
      </c>
      <c r="F126" s="2">
        <v>3.0499999999999999E-2</v>
      </c>
      <c r="G126" s="2">
        <v>1.5621564E-3</v>
      </c>
      <c r="H126" s="2">
        <v>0</v>
      </c>
      <c r="I126" s="50">
        <f t="shared" ref="I126:I136" si="20">(F126*E126)/1000</f>
        <v>3.0499999999999999E-5</v>
      </c>
      <c r="J126" s="12">
        <f>G126*E126</f>
        <v>1.5621564E-3</v>
      </c>
      <c r="K126" s="12">
        <f t="shared" ref="K126:K136" si="21">I126*H126*E126</f>
        <v>0</v>
      </c>
      <c r="L126" s="12">
        <f>J126*H126</f>
        <v>0</v>
      </c>
    </row>
    <row r="127" spans="4:12">
      <c r="D127" s="2">
        <v>1</v>
      </c>
      <c r="E127" s="2">
        <v>4</v>
      </c>
      <c r="F127" s="2">
        <v>8.6499999999999994E-2</v>
      </c>
      <c r="G127" s="2">
        <v>8.6288642999999988E-3</v>
      </c>
      <c r="H127" s="2">
        <v>1</v>
      </c>
      <c r="I127" s="50">
        <f t="shared" si="20"/>
        <v>3.4599999999999995E-4</v>
      </c>
      <c r="J127" s="12">
        <f t="shared" ref="J127:J136" si="22">G127*E127</f>
        <v>3.4515457199999995E-2</v>
      </c>
      <c r="K127" s="12">
        <f t="shared" si="21"/>
        <v>1.3839999999999998E-3</v>
      </c>
      <c r="L127" s="12">
        <f t="shared" ref="L127:L136" si="23">J127*H127</f>
        <v>3.4515457199999995E-2</v>
      </c>
    </row>
    <row r="128" spans="4:12">
      <c r="D128" s="2">
        <v>2</v>
      </c>
      <c r="E128" s="2">
        <v>2</v>
      </c>
      <c r="F128" s="2">
        <v>0.11899999999999999</v>
      </c>
      <c r="G128" s="2">
        <v>1.5916726400000001E-2</v>
      </c>
      <c r="H128" s="2">
        <v>2</v>
      </c>
      <c r="I128" s="50">
        <f t="shared" si="20"/>
        <v>2.3799999999999998E-4</v>
      </c>
      <c r="J128" s="12">
        <f t="shared" si="22"/>
        <v>3.1833452800000002E-2</v>
      </c>
      <c r="K128" s="12">
        <f t="shared" si="21"/>
        <v>9.5199999999999994E-4</v>
      </c>
      <c r="L128" s="12">
        <f t="shared" si="23"/>
        <v>6.3666905600000004E-2</v>
      </c>
    </row>
    <row r="129" spans="4:12">
      <c r="D129" s="2">
        <v>3</v>
      </c>
      <c r="E129" s="2">
        <v>4</v>
      </c>
      <c r="F129" s="2">
        <v>0.14099999999999999</v>
      </c>
      <c r="G129" s="2">
        <v>2.25021262E-2</v>
      </c>
      <c r="H129" s="2">
        <v>3</v>
      </c>
      <c r="I129" s="50">
        <f t="shared" si="20"/>
        <v>5.6399999999999994E-4</v>
      </c>
      <c r="J129" s="12">
        <f t="shared" si="22"/>
        <v>9.00085048E-2</v>
      </c>
      <c r="K129" s="12">
        <f t="shared" si="21"/>
        <v>6.7679999999999997E-3</v>
      </c>
      <c r="L129" s="12">
        <f t="shared" si="23"/>
        <v>0.2700255144</v>
      </c>
    </row>
    <row r="130" spans="4:12">
      <c r="D130" s="2">
        <v>4</v>
      </c>
      <c r="E130" s="2">
        <v>2</v>
      </c>
      <c r="F130" s="2">
        <v>0.153</v>
      </c>
      <c r="G130" s="2">
        <v>2.9833083299999997E-2</v>
      </c>
      <c r="H130" s="2">
        <v>4</v>
      </c>
      <c r="I130" s="50">
        <f t="shared" si="20"/>
        <v>3.0600000000000001E-4</v>
      </c>
      <c r="J130" s="12">
        <f t="shared" si="22"/>
        <v>5.9666166599999994E-2</v>
      </c>
      <c r="K130" s="12">
        <f t="shared" si="21"/>
        <v>2.4480000000000001E-3</v>
      </c>
      <c r="L130" s="12">
        <f t="shared" si="23"/>
        <v>0.23866466639999998</v>
      </c>
    </row>
    <row r="131" spans="4:12">
      <c r="D131" s="2">
        <v>5</v>
      </c>
      <c r="E131" s="2">
        <v>4</v>
      </c>
      <c r="F131" s="2">
        <v>0.1595</v>
      </c>
      <c r="G131" s="2">
        <v>3.2716532999999999E-2</v>
      </c>
      <c r="H131" s="2">
        <v>5</v>
      </c>
      <c r="I131" s="50">
        <f t="shared" si="20"/>
        <v>6.38E-4</v>
      </c>
      <c r="J131" s="12">
        <f t="shared" si="22"/>
        <v>0.130866132</v>
      </c>
      <c r="K131" s="12">
        <f t="shared" si="21"/>
        <v>1.2760000000000001E-2</v>
      </c>
      <c r="L131" s="12">
        <f t="shared" si="23"/>
        <v>0.65433065999999995</v>
      </c>
    </row>
    <row r="132" spans="4:12">
      <c r="D132" s="2">
        <v>6</v>
      </c>
      <c r="E132" s="2">
        <v>2</v>
      </c>
      <c r="F132" s="2">
        <v>0.161</v>
      </c>
      <c r="G132" s="2">
        <v>3.2541983199999999E-2</v>
      </c>
      <c r="H132" s="2">
        <v>6</v>
      </c>
      <c r="I132" s="50">
        <f t="shared" si="20"/>
        <v>3.2200000000000002E-4</v>
      </c>
      <c r="J132" s="12">
        <f t="shared" si="22"/>
        <v>6.5083966399999998E-2</v>
      </c>
      <c r="K132" s="12">
        <f t="shared" si="21"/>
        <v>3.8640000000000002E-3</v>
      </c>
      <c r="L132" s="12">
        <f t="shared" si="23"/>
        <v>0.39050379839999999</v>
      </c>
    </row>
    <row r="133" spans="4:12">
      <c r="D133" s="2">
        <v>7</v>
      </c>
      <c r="E133" s="2">
        <v>4</v>
      </c>
      <c r="F133" s="2">
        <v>0.1585</v>
      </c>
      <c r="G133" s="2">
        <v>3.07562407E-2</v>
      </c>
      <c r="H133" s="2">
        <v>7</v>
      </c>
      <c r="I133" s="50">
        <f t="shared" si="20"/>
        <v>6.3400000000000001E-4</v>
      </c>
      <c r="J133" s="12">
        <f t="shared" si="22"/>
        <v>0.1230249628</v>
      </c>
      <c r="K133" s="12">
        <f t="shared" si="21"/>
        <v>1.7752E-2</v>
      </c>
      <c r="L133" s="12">
        <f t="shared" si="23"/>
        <v>0.86117473960000002</v>
      </c>
    </row>
    <row r="134" spans="4:12">
      <c r="D134" s="2">
        <v>8</v>
      </c>
      <c r="E134" s="2">
        <v>2</v>
      </c>
      <c r="F134" s="2">
        <v>0.1545</v>
      </c>
      <c r="G134" s="2">
        <v>2.7772765200000001E-2</v>
      </c>
      <c r="H134" s="2">
        <v>8</v>
      </c>
      <c r="I134" s="50">
        <f t="shared" si="20"/>
        <v>3.0899999999999998E-4</v>
      </c>
      <c r="J134" s="12">
        <f t="shared" si="22"/>
        <v>5.5545530400000001E-2</v>
      </c>
      <c r="K134" s="12">
        <f t="shared" si="21"/>
        <v>4.9439999999999996E-3</v>
      </c>
      <c r="L134" s="12">
        <f t="shared" si="23"/>
        <v>0.44436424320000001</v>
      </c>
    </row>
    <row r="135" spans="4:12">
      <c r="D135" s="2">
        <v>9</v>
      </c>
      <c r="E135" s="2">
        <v>4</v>
      </c>
      <c r="F135" s="2">
        <v>0.14949999999999999</v>
      </c>
      <c r="G135" s="2">
        <v>2.5226447900000001E-2</v>
      </c>
      <c r="H135" s="2">
        <v>9</v>
      </c>
      <c r="I135" s="50">
        <f t="shared" si="20"/>
        <v>5.9800000000000001E-4</v>
      </c>
      <c r="J135" s="12">
        <f t="shared" si="22"/>
        <v>0.1009057916</v>
      </c>
      <c r="K135" s="12">
        <f t="shared" si="21"/>
        <v>2.1527999999999999E-2</v>
      </c>
      <c r="L135" s="12">
        <f t="shared" si="23"/>
        <v>0.90815212440000004</v>
      </c>
    </row>
    <row r="136" spans="4:12">
      <c r="D136" s="2">
        <v>10</v>
      </c>
      <c r="E136" s="2">
        <v>1</v>
      </c>
      <c r="F136" s="2">
        <v>0.14549999999999999</v>
      </c>
      <c r="G136" s="2">
        <v>2.3273793000000001E-2</v>
      </c>
      <c r="H136" s="2">
        <v>10</v>
      </c>
      <c r="I136" s="50">
        <f t="shared" si="20"/>
        <v>1.4549999999999999E-4</v>
      </c>
      <c r="J136" s="12">
        <f t="shared" si="22"/>
        <v>2.3273793000000001E-2</v>
      </c>
      <c r="K136" s="12">
        <f t="shared" si="21"/>
        <v>1.4549999999999999E-3</v>
      </c>
      <c r="L136" s="12">
        <f t="shared" si="23"/>
        <v>0.23273793000000001</v>
      </c>
    </row>
    <row r="137" spans="4:12">
      <c r="D137" s="2"/>
      <c r="E137" s="2"/>
      <c r="F137" s="2"/>
      <c r="G137" s="2"/>
      <c r="H137" s="2"/>
      <c r="I137" s="2"/>
      <c r="J137" s="11"/>
      <c r="K137" s="11"/>
      <c r="L137" s="11"/>
    </row>
    <row r="138" spans="4:12">
      <c r="D138" s="2"/>
      <c r="E138" s="2"/>
      <c r="F138" s="2"/>
      <c r="G138" s="2"/>
      <c r="H138" s="2"/>
      <c r="I138" s="15"/>
      <c r="J138" s="12">
        <f>SUM(J126:J136)</f>
        <v>0.71628591399999997</v>
      </c>
      <c r="K138" s="12">
        <f>SUM(K126:K136)</f>
        <v>7.385499999999999E-2</v>
      </c>
      <c r="L138" s="12">
        <f>SUM(L126:L136)</f>
        <v>4.0981360391999999</v>
      </c>
    </row>
    <row r="140" spans="4:12">
      <c r="D140" s="1" t="s">
        <v>14</v>
      </c>
      <c r="G140">
        <f>(1/3*100*J138)/1000</f>
        <v>2.3876197133333329E-2</v>
      </c>
      <c r="H140" s="1" t="s">
        <v>19</v>
      </c>
      <c r="J140">
        <f>1.025*G140</f>
        <v>2.4473102061666661E-2</v>
      </c>
      <c r="K140" s="1" t="s">
        <v>20</v>
      </c>
      <c r="L140" s="23">
        <f>(G140/(1061.5*319.92*150))*1000000000</f>
        <v>0.46871894479612464</v>
      </c>
    </row>
    <row r="141" spans="4:12">
      <c r="D141" s="1" t="s">
        <v>15</v>
      </c>
      <c r="G141">
        <f>(1/3*100*K138)/1000</f>
        <v>2.4618333333333328E-3</v>
      </c>
      <c r="H141" s="1" t="s">
        <v>18</v>
      </c>
      <c r="J141">
        <f>G141/G140</f>
        <v>0.10310826802047093</v>
      </c>
      <c r="K141" t="s">
        <v>61</v>
      </c>
      <c r="L141" s="23">
        <f>(G131/(319.92*150))*1000000</f>
        <v>0.68176487871967995</v>
      </c>
    </row>
    <row r="142" spans="4:12">
      <c r="D142" s="1" t="s">
        <v>16</v>
      </c>
      <c r="G142">
        <f>(1/3*100*100*L138)/1000000</f>
        <v>1.3660453463999998E-2</v>
      </c>
      <c r="H142" s="1" t="s">
        <v>17</v>
      </c>
      <c r="J142">
        <f>G142/G140</f>
        <v>0.57213690219238345</v>
      </c>
      <c r="K142" t="s">
        <v>59</v>
      </c>
      <c r="L142" s="23">
        <f>L140/L141</f>
        <v>0.68750820029972093</v>
      </c>
    </row>
    <row r="145" spans="4:12" ht="15" thickBot="1"/>
    <row r="146" spans="4:12" ht="15" thickBot="1">
      <c r="H146" s="63" t="s">
        <v>21</v>
      </c>
      <c r="I146" s="64"/>
    </row>
    <row r="148" spans="4:12">
      <c r="D148" s="14" t="s">
        <v>10</v>
      </c>
      <c r="E148" s="14" t="s">
        <v>0</v>
      </c>
      <c r="F148" s="14" t="s">
        <v>11</v>
      </c>
      <c r="G148" s="14" t="s">
        <v>1</v>
      </c>
      <c r="H148" s="14" t="s">
        <v>12</v>
      </c>
      <c r="I148" s="14" t="s">
        <v>13</v>
      </c>
      <c r="J148" s="14" t="s">
        <v>9</v>
      </c>
      <c r="K148" s="14" t="s">
        <v>2</v>
      </c>
      <c r="L148" s="14" t="s">
        <v>3</v>
      </c>
    </row>
    <row r="149" spans="4:12">
      <c r="D149" s="2"/>
      <c r="E149" s="2"/>
      <c r="F149" s="2"/>
      <c r="G149" s="2"/>
      <c r="H149" s="2"/>
      <c r="I149" s="2"/>
      <c r="J149" s="2"/>
      <c r="K149" s="2"/>
      <c r="L149" s="2"/>
    </row>
    <row r="150" spans="4:12">
      <c r="D150" s="2">
        <v>0</v>
      </c>
      <c r="E150" s="2">
        <v>1</v>
      </c>
      <c r="F150" s="2">
        <v>0.05</v>
      </c>
      <c r="G150" s="48">
        <v>3.8743996000000004E-3</v>
      </c>
      <c r="H150" s="2">
        <v>0</v>
      </c>
      <c r="I150" s="50">
        <f t="shared" ref="I150:I160" si="24">(F150*E150)/1000</f>
        <v>5.0000000000000002E-5</v>
      </c>
      <c r="J150" s="12">
        <f>G150*E150</f>
        <v>3.8743996000000004E-3</v>
      </c>
      <c r="K150" s="12">
        <f t="shared" ref="K150:K160" si="25">I150*H150*E150</f>
        <v>0</v>
      </c>
      <c r="L150" s="12">
        <f>J150*H150</f>
        <v>0</v>
      </c>
    </row>
    <row r="151" spans="4:12">
      <c r="D151" s="2">
        <v>1</v>
      </c>
      <c r="E151" s="2">
        <v>4</v>
      </c>
      <c r="F151" s="2">
        <v>9.8000000000000004E-2</v>
      </c>
      <c r="G151" s="48">
        <v>1.3923817E-2</v>
      </c>
      <c r="H151" s="2">
        <v>1</v>
      </c>
      <c r="I151" s="50">
        <f t="shared" si="24"/>
        <v>3.9200000000000004E-4</v>
      </c>
      <c r="J151" s="12">
        <f t="shared" ref="J151:J160" si="26">G151*E151</f>
        <v>5.5695267999999999E-2</v>
      </c>
      <c r="K151" s="12">
        <f t="shared" si="25"/>
        <v>1.5680000000000002E-3</v>
      </c>
      <c r="L151" s="12">
        <f t="shared" ref="L151:L160" si="27">J151*H151</f>
        <v>5.5695267999999999E-2</v>
      </c>
    </row>
    <row r="152" spans="4:12">
      <c r="D152" s="2">
        <v>2</v>
      </c>
      <c r="E152" s="2">
        <v>2</v>
      </c>
      <c r="F152" s="2">
        <v>0.1225</v>
      </c>
      <c r="G152" s="48">
        <v>2.15799941E-2</v>
      </c>
      <c r="H152" s="2">
        <v>2</v>
      </c>
      <c r="I152" s="50">
        <f t="shared" si="24"/>
        <v>2.4499999999999999E-4</v>
      </c>
      <c r="J152" s="12">
        <f t="shared" si="26"/>
        <v>4.3159988199999999E-2</v>
      </c>
      <c r="K152" s="12">
        <f t="shared" si="25"/>
        <v>9.7999999999999997E-4</v>
      </c>
      <c r="L152" s="12">
        <f t="shared" si="27"/>
        <v>8.6319976399999998E-2</v>
      </c>
    </row>
    <row r="153" spans="4:12">
      <c r="D153" s="2">
        <v>3</v>
      </c>
      <c r="E153" s="2">
        <v>4</v>
      </c>
      <c r="F153" s="2">
        <v>0.14749999999999999</v>
      </c>
      <c r="G153" s="48">
        <v>2.9726012599999997E-2</v>
      </c>
      <c r="H153" s="2">
        <v>3</v>
      </c>
      <c r="I153" s="50">
        <f t="shared" si="24"/>
        <v>5.8999999999999992E-4</v>
      </c>
      <c r="J153" s="12">
        <f t="shared" si="26"/>
        <v>0.11890405039999999</v>
      </c>
      <c r="K153" s="12">
        <f t="shared" si="25"/>
        <v>7.0799999999999995E-3</v>
      </c>
      <c r="L153" s="12">
        <f t="shared" si="27"/>
        <v>0.35671215119999999</v>
      </c>
    </row>
    <row r="154" spans="4:12">
      <c r="D154" s="2">
        <v>4</v>
      </c>
      <c r="E154" s="2">
        <v>2</v>
      </c>
      <c r="F154" s="2">
        <v>0.158</v>
      </c>
      <c r="G154" s="48">
        <v>3.71109409E-2</v>
      </c>
      <c r="H154" s="2">
        <v>4</v>
      </c>
      <c r="I154" s="50">
        <f t="shared" si="24"/>
        <v>3.1599999999999998E-4</v>
      </c>
      <c r="J154" s="12">
        <f t="shared" si="26"/>
        <v>7.42218818E-2</v>
      </c>
      <c r="K154" s="12">
        <f t="shared" si="25"/>
        <v>2.5279999999999999E-3</v>
      </c>
      <c r="L154" s="12">
        <f t="shared" si="27"/>
        <v>0.2968875272</v>
      </c>
    </row>
    <row r="155" spans="4:12">
      <c r="D155" s="2">
        <v>5</v>
      </c>
      <c r="E155" s="2">
        <v>4</v>
      </c>
      <c r="F155" s="2">
        <v>0.16250000000000001</v>
      </c>
      <c r="G155" s="48">
        <v>4.0889130899999994E-2</v>
      </c>
      <c r="H155" s="2">
        <v>5</v>
      </c>
      <c r="I155" s="50">
        <f t="shared" si="24"/>
        <v>6.4999999999999997E-4</v>
      </c>
      <c r="J155" s="12">
        <f t="shared" si="26"/>
        <v>0.16355652359999998</v>
      </c>
      <c r="K155" s="12">
        <f t="shared" si="25"/>
        <v>1.2999999999999999E-2</v>
      </c>
      <c r="L155" s="12">
        <f t="shared" si="27"/>
        <v>0.81778261799999985</v>
      </c>
    </row>
    <row r="156" spans="4:12">
      <c r="D156" s="2">
        <v>6</v>
      </c>
      <c r="E156" s="2">
        <v>2</v>
      </c>
      <c r="F156" s="2">
        <v>0.16400000000000001</v>
      </c>
      <c r="G156" s="48">
        <v>4.0658365500000002E-2</v>
      </c>
      <c r="H156" s="2">
        <v>6</v>
      </c>
      <c r="I156" s="50">
        <f t="shared" si="24"/>
        <v>3.28E-4</v>
      </c>
      <c r="J156" s="12">
        <f t="shared" si="26"/>
        <v>8.1316731000000003E-2</v>
      </c>
      <c r="K156" s="12">
        <f t="shared" si="25"/>
        <v>3.9360000000000003E-3</v>
      </c>
      <c r="L156" s="12">
        <f t="shared" si="27"/>
        <v>0.48790038600000002</v>
      </c>
    </row>
    <row r="157" spans="4:12">
      <c r="D157" s="2">
        <v>7</v>
      </c>
      <c r="E157" s="2">
        <v>4</v>
      </c>
      <c r="F157" s="2">
        <v>0.1615</v>
      </c>
      <c r="G157" s="48">
        <v>3.8754098299999998E-2</v>
      </c>
      <c r="H157" s="2">
        <v>7</v>
      </c>
      <c r="I157" s="50">
        <f t="shared" si="24"/>
        <v>6.4599999999999998E-4</v>
      </c>
      <c r="J157" s="12">
        <f t="shared" si="26"/>
        <v>0.15501639319999999</v>
      </c>
      <c r="K157" s="12">
        <f t="shared" si="25"/>
        <v>1.8088E-2</v>
      </c>
      <c r="L157" s="12">
        <f t="shared" si="27"/>
        <v>1.0851147524</v>
      </c>
    </row>
    <row r="158" spans="4:12">
      <c r="D158" s="2">
        <v>8</v>
      </c>
      <c r="E158" s="2">
        <v>2</v>
      </c>
      <c r="F158" s="2">
        <v>0.15709999999999999</v>
      </c>
      <c r="G158" s="48">
        <v>3.5561108800000005E-2</v>
      </c>
      <c r="H158" s="2">
        <v>8</v>
      </c>
      <c r="I158" s="50">
        <f t="shared" si="24"/>
        <v>3.1419999999999999E-4</v>
      </c>
      <c r="J158" s="12">
        <f t="shared" si="26"/>
        <v>7.1122217600000009E-2</v>
      </c>
      <c r="K158" s="12">
        <f t="shared" si="25"/>
        <v>5.0271999999999999E-3</v>
      </c>
      <c r="L158" s="12">
        <f t="shared" si="27"/>
        <v>0.56897774080000008</v>
      </c>
    </row>
    <row r="159" spans="4:12">
      <c r="D159" s="2">
        <v>9</v>
      </c>
      <c r="E159" s="2">
        <v>4</v>
      </c>
      <c r="F159" s="2">
        <v>0.153</v>
      </c>
      <c r="G159" s="48">
        <v>3.2780643499999998E-2</v>
      </c>
      <c r="H159" s="2">
        <v>9</v>
      </c>
      <c r="I159" s="50">
        <f t="shared" si="24"/>
        <v>6.1200000000000002E-4</v>
      </c>
      <c r="J159" s="12">
        <f t="shared" si="26"/>
        <v>0.13112257399999999</v>
      </c>
      <c r="K159" s="12">
        <f t="shared" si="25"/>
        <v>2.2032E-2</v>
      </c>
      <c r="L159" s="12">
        <f t="shared" si="27"/>
        <v>1.1801031659999999</v>
      </c>
    </row>
    <row r="160" spans="4:12">
      <c r="D160" s="2">
        <v>10</v>
      </c>
      <c r="E160" s="2">
        <v>1</v>
      </c>
      <c r="F160" s="2">
        <v>0.14899999999999999</v>
      </c>
      <c r="G160" s="48">
        <v>3.06306644E-2</v>
      </c>
      <c r="H160" s="2">
        <v>10</v>
      </c>
      <c r="I160" s="50">
        <f t="shared" si="24"/>
        <v>1.4899999999999999E-4</v>
      </c>
      <c r="J160" s="12">
        <f t="shared" si="26"/>
        <v>3.06306644E-2</v>
      </c>
      <c r="K160" s="12">
        <f t="shared" si="25"/>
        <v>1.49E-3</v>
      </c>
      <c r="L160" s="12">
        <f t="shared" si="27"/>
        <v>0.30630664400000002</v>
      </c>
    </row>
    <row r="161" spans="4:12">
      <c r="D161" s="2"/>
      <c r="E161" s="2"/>
      <c r="F161" s="2"/>
      <c r="G161" s="2"/>
      <c r="H161" s="2"/>
      <c r="I161" s="2"/>
      <c r="J161" s="11"/>
      <c r="K161" s="11"/>
      <c r="L161" s="11"/>
    </row>
    <row r="162" spans="4:12">
      <c r="D162" s="2"/>
      <c r="E162" s="2"/>
      <c r="F162" s="2"/>
      <c r="G162" s="2"/>
      <c r="H162" s="2"/>
      <c r="I162" s="15"/>
      <c r="J162" s="12">
        <f>SUM(J150:J160)</f>
        <v>0.92862069180000006</v>
      </c>
      <c r="K162" s="12">
        <f>SUM(K150:K160)</f>
        <v>7.572920000000001E-2</v>
      </c>
      <c r="L162" s="12">
        <f>SUM(L150:L160)</f>
        <v>5.2418002299999999</v>
      </c>
    </row>
    <row r="164" spans="4:12">
      <c r="D164" s="1" t="s">
        <v>14</v>
      </c>
      <c r="G164">
        <f>(1/3*100*J162)/1000</f>
        <v>3.0954023059999999E-2</v>
      </c>
      <c r="H164" s="1" t="s">
        <v>19</v>
      </c>
      <c r="J164">
        <f>1.025*G164</f>
        <v>3.1727873636499995E-2</v>
      </c>
      <c r="K164" s="1" t="s">
        <v>20</v>
      </c>
      <c r="L164" s="23">
        <f>(G164/(1082.5*327.04*175))*1000000000</f>
        <v>0.49963203227445541</v>
      </c>
    </row>
    <row r="165" spans="4:12">
      <c r="D165" s="1" t="s">
        <v>15</v>
      </c>
      <c r="G165">
        <f>(1/3*100*K162)/1000</f>
        <v>2.5243066666666663E-3</v>
      </c>
      <c r="H165" s="1" t="s">
        <v>18</v>
      </c>
      <c r="J165">
        <f>G165/G164</f>
        <v>8.1550196618179638E-2</v>
      </c>
      <c r="K165" t="s">
        <v>61</v>
      </c>
      <c r="L165" s="23">
        <f>(G155/(327.04*175))*1000000</f>
        <v>0.71444525615040522</v>
      </c>
    </row>
    <row r="166" spans="4:12">
      <c r="D166" s="1" t="s">
        <v>16</v>
      </c>
      <c r="G166">
        <f>(1/3*100*100*L162)/1000000</f>
        <v>1.7472667433333332E-2</v>
      </c>
      <c r="H166" s="1" t="s">
        <v>17</v>
      </c>
      <c r="J166">
        <f>G166/G164</f>
        <v>0.56447161648309929</v>
      </c>
      <c r="K166" t="s">
        <v>59</v>
      </c>
      <c r="L166" s="23">
        <f>L164/L165</f>
        <v>0.69932864410995921</v>
      </c>
    </row>
    <row r="169" spans="4:12" ht="15" thickBot="1"/>
    <row r="170" spans="4:12" ht="15" thickBot="1">
      <c r="H170" s="63" t="s">
        <v>22</v>
      </c>
      <c r="I170" s="64"/>
    </row>
    <row r="172" spans="4:12">
      <c r="D172" s="14" t="s">
        <v>10</v>
      </c>
      <c r="E172" s="14" t="s">
        <v>0</v>
      </c>
      <c r="F172" s="14" t="s">
        <v>11</v>
      </c>
      <c r="G172" s="14" t="s">
        <v>1</v>
      </c>
      <c r="H172" s="14" t="s">
        <v>12</v>
      </c>
      <c r="I172" s="14" t="s">
        <v>13</v>
      </c>
      <c r="J172" s="14" t="s">
        <v>9</v>
      </c>
      <c r="K172" s="14" t="s">
        <v>2</v>
      </c>
      <c r="L172" s="14" t="s">
        <v>3</v>
      </c>
    </row>
    <row r="173" spans="4:12">
      <c r="D173" s="2"/>
      <c r="E173" s="2"/>
      <c r="F173" s="2"/>
      <c r="G173" s="2"/>
      <c r="H173" s="2"/>
      <c r="I173" s="2"/>
      <c r="J173" s="2"/>
      <c r="K173" s="2"/>
      <c r="L173" s="2"/>
    </row>
    <row r="174" spans="4:12">
      <c r="D174" s="2">
        <v>0</v>
      </c>
      <c r="E174" s="2">
        <v>1</v>
      </c>
      <c r="F174" s="2">
        <v>6.3500000000000001E-2</v>
      </c>
      <c r="G174" s="48">
        <v>6.4643746000000004E-3</v>
      </c>
      <c r="H174" s="2">
        <v>0</v>
      </c>
      <c r="I174" s="50">
        <f t="shared" ref="I174:I184" si="28">(F174*E174)/1000</f>
        <v>6.3499999999999999E-5</v>
      </c>
      <c r="J174" s="12">
        <f>G174*E174</f>
        <v>6.4643746000000004E-3</v>
      </c>
      <c r="K174" s="13">
        <f t="shared" ref="K174:K184" si="29">I174*H174*E174</f>
        <v>0</v>
      </c>
      <c r="L174" s="12">
        <f>J174*H174</f>
        <v>0</v>
      </c>
    </row>
    <row r="175" spans="4:12">
      <c r="D175" s="2">
        <v>1</v>
      </c>
      <c r="E175" s="2">
        <v>4</v>
      </c>
      <c r="F175" s="2">
        <v>0.1085</v>
      </c>
      <c r="G175" s="48">
        <v>1.8262099699999999E-2</v>
      </c>
      <c r="H175" s="2">
        <v>1</v>
      </c>
      <c r="I175" s="50">
        <f t="shared" si="28"/>
        <v>4.3399999999999998E-4</v>
      </c>
      <c r="J175" s="12">
        <f t="shared" ref="J175:J184" si="30">G175*E175</f>
        <v>7.3048398799999997E-2</v>
      </c>
      <c r="K175" s="13">
        <f t="shared" si="29"/>
        <v>1.7359999999999999E-3</v>
      </c>
      <c r="L175" s="12">
        <f t="shared" ref="L175:L184" si="31">J175*H175</f>
        <v>7.3048398799999997E-2</v>
      </c>
    </row>
    <row r="176" spans="4:12">
      <c r="D176" s="2">
        <v>2</v>
      </c>
      <c r="E176" s="2">
        <v>2</v>
      </c>
      <c r="F176" s="2">
        <v>0.13550000000000001</v>
      </c>
      <c r="G176" s="48">
        <v>2.8176202600000002E-2</v>
      </c>
      <c r="H176" s="2">
        <v>2</v>
      </c>
      <c r="I176" s="50">
        <f t="shared" si="28"/>
        <v>2.7100000000000003E-4</v>
      </c>
      <c r="J176" s="12">
        <f t="shared" si="30"/>
        <v>5.6352405200000004E-2</v>
      </c>
      <c r="K176" s="13">
        <f t="shared" si="29"/>
        <v>1.0840000000000001E-3</v>
      </c>
      <c r="L176" s="12">
        <f t="shared" si="31"/>
        <v>0.11270481040000001</v>
      </c>
    </row>
    <row r="177" spans="4:12">
      <c r="D177" s="2">
        <v>3</v>
      </c>
      <c r="E177" s="2">
        <v>4</v>
      </c>
      <c r="F177" s="2">
        <v>0.154</v>
      </c>
      <c r="G177" s="48">
        <v>3.7281276100000003E-2</v>
      </c>
      <c r="H177" s="2">
        <v>3</v>
      </c>
      <c r="I177" s="50">
        <f t="shared" si="28"/>
        <v>6.1600000000000001E-4</v>
      </c>
      <c r="J177" s="12">
        <f t="shared" si="30"/>
        <v>0.14912510440000001</v>
      </c>
      <c r="K177" s="13">
        <f t="shared" si="29"/>
        <v>7.3920000000000001E-3</v>
      </c>
      <c r="L177" s="12">
        <f t="shared" si="31"/>
        <v>0.44737531320000001</v>
      </c>
    </row>
    <row r="178" spans="4:12">
      <c r="D178" s="2">
        <v>4</v>
      </c>
      <c r="E178" s="2">
        <v>2</v>
      </c>
      <c r="F178" s="2">
        <v>0.16300000000000001</v>
      </c>
      <c r="G178" s="48">
        <v>4.5174115799999998E-2</v>
      </c>
      <c r="H178" s="2">
        <v>4</v>
      </c>
      <c r="I178" s="50">
        <f t="shared" si="28"/>
        <v>3.2600000000000001E-4</v>
      </c>
      <c r="J178" s="12">
        <f t="shared" si="30"/>
        <v>9.0348231599999995E-2</v>
      </c>
      <c r="K178" s="13">
        <f t="shared" si="29"/>
        <v>2.6080000000000001E-3</v>
      </c>
      <c r="L178" s="12">
        <f t="shared" si="31"/>
        <v>0.36139292639999998</v>
      </c>
    </row>
    <row r="179" spans="4:12">
      <c r="D179" s="2">
        <v>5</v>
      </c>
      <c r="E179" s="2">
        <v>4</v>
      </c>
      <c r="F179" s="2">
        <v>0.16650000000000001</v>
      </c>
      <c r="G179" s="48">
        <v>4.8671993999999996E-2</v>
      </c>
      <c r="H179" s="2">
        <v>5</v>
      </c>
      <c r="I179" s="50">
        <f t="shared" si="28"/>
        <v>6.6600000000000003E-4</v>
      </c>
      <c r="J179" s="12">
        <f t="shared" si="30"/>
        <v>0.19468797599999998</v>
      </c>
      <c r="K179" s="13">
        <f t="shared" si="29"/>
        <v>1.332E-2</v>
      </c>
      <c r="L179" s="12">
        <f t="shared" si="31"/>
        <v>0.97343987999999992</v>
      </c>
    </row>
    <row r="180" spans="4:12">
      <c r="D180" s="2">
        <v>6</v>
      </c>
      <c r="E180" s="2">
        <v>2</v>
      </c>
      <c r="F180" s="2">
        <v>0.16700000000000001</v>
      </c>
      <c r="G180" s="48">
        <v>4.8931335299999996E-2</v>
      </c>
      <c r="H180" s="2">
        <v>6</v>
      </c>
      <c r="I180" s="50">
        <f t="shared" si="28"/>
        <v>3.3400000000000004E-4</v>
      </c>
      <c r="J180" s="12">
        <f t="shared" si="30"/>
        <v>9.7862670599999993E-2</v>
      </c>
      <c r="K180" s="13">
        <f t="shared" si="29"/>
        <v>4.0080000000000003E-3</v>
      </c>
      <c r="L180" s="12">
        <f t="shared" si="31"/>
        <v>0.58717602359999999</v>
      </c>
    </row>
    <row r="181" spans="4:12">
      <c r="D181" s="2">
        <v>7</v>
      </c>
      <c r="E181" s="2">
        <v>4</v>
      </c>
      <c r="F181" s="2">
        <v>0.16450000000000001</v>
      </c>
      <c r="G181" s="48">
        <v>4.6905476499999994E-2</v>
      </c>
      <c r="H181" s="2">
        <v>7</v>
      </c>
      <c r="I181" s="50">
        <f t="shared" si="28"/>
        <v>6.5800000000000006E-4</v>
      </c>
      <c r="J181" s="12">
        <f t="shared" si="30"/>
        <v>0.18762190599999998</v>
      </c>
      <c r="K181" s="13">
        <f t="shared" si="29"/>
        <v>1.8424000000000003E-2</v>
      </c>
      <c r="L181" s="12">
        <f t="shared" si="31"/>
        <v>1.3133533419999999</v>
      </c>
    </row>
    <row r="182" spans="4:12">
      <c r="D182" s="2">
        <v>8</v>
      </c>
      <c r="E182" s="2">
        <v>2</v>
      </c>
      <c r="F182" s="2">
        <v>0.1605</v>
      </c>
      <c r="G182" s="48">
        <v>4.3499340800000001E-2</v>
      </c>
      <c r="H182" s="2">
        <v>8</v>
      </c>
      <c r="I182" s="50">
        <f t="shared" si="28"/>
        <v>3.21E-4</v>
      </c>
      <c r="J182" s="12">
        <f t="shared" si="30"/>
        <v>8.6998681600000002E-2</v>
      </c>
      <c r="K182" s="13">
        <f t="shared" si="29"/>
        <v>5.1359999999999999E-3</v>
      </c>
      <c r="L182" s="12">
        <f t="shared" si="31"/>
        <v>0.69598945280000002</v>
      </c>
    </row>
    <row r="183" spans="4:12">
      <c r="D183" s="2">
        <v>9</v>
      </c>
      <c r="E183" s="2">
        <v>4</v>
      </c>
      <c r="F183" s="2">
        <v>0.1565</v>
      </c>
      <c r="G183" s="48">
        <v>4.0501216399999998E-2</v>
      </c>
      <c r="H183" s="2">
        <v>9</v>
      </c>
      <c r="I183" s="50">
        <f t="shared" si="28"/>
        <v>6.2600000000000004E-4</v>
      </c>
      <c r="J183" s="12">
        <f t="shared" si="30"/>
        <v>0.16200486559999999</v>
      </c>
      <c r="K183" s="13">
        <f t="shared" si="29"/>
        <v>2.2536E-2</v>
      </c>
      <c r="L183" s="12">
        <f t="shared" si="31"/>
        <v>1.4580437903999999</v>
      </c>
    </row>
    <row r="184" spans="4:12">
      <c r="D184" s="2">
        <v>10</v>
      </c>
      <c r="E184" s="2">
        <v>1</v>
      </c>
      <c r="F184" s="2">
        <v>0.153</v>
      </c>
      <c r="G184" s="48">
        <v>3.8155588900000002E-2</v>
      </c>
      <c r="H184" s="2">
        <v>10</v>
      </c>
      <c r="I184" s="50">
        <f t="shared" si="28"/>
        <v>1.5300000000000001E-4</v>
      </c>
      <c r="J184" s="12">
        <f t="shared" si="30"/>
        <v>3.8155588900000002E-2</v>
      </c>
      <c r="K184" s="13">
        <f t="shared" si="29"/>
        <v>1.5300000000000001E-3</v>
      </c>
      <c r="L184" s="12">
        <f t="shared" si="31"/>
        <v>0.38155588900000004</v>
      </c>
    </row>
    <row r="185" spans="4:12">
      <c r="D185" s="2"/>
      <c r="E185" s="2"/>
      <c r="F185" s="2"/>
      <c r="G185" s="2"/>
      <c r="H185" s="2"/>
      <c r="I185" s="2"/>
      <c r="J185" s="11"/>
      <c r="K185" s="11"/>
      <c r="L185" s="11"/>
    </row>
    <row r="186" spans="4:12">
      <c r="D186" s="2"/>
      <c r="E186" s="2"/>
      <c r="F186" s="2"/>
      <c r="G186" s="2"/>
      <c r="H186" s="2"/>
      <c r="I186" s="15"/>
      <c r="J186" s="12">
        <f>SUM(J174:J184)</f>
        <v>1.1426702033</v>
      </c>
      <c r="K186" s="12">
        <f>SUM(K174:K184)</f>
        <v>7.777400000000001E-2</v>
      </c>
      <c r="L186" s="12">
        <f>SUM(L174:L184)</f>
        <v>6.4040798266000003</v>
      </c>
    </row>
    <row r="188" spans="4:12">
      <c r="D188" s="1" t="s">
        <v>14</v>
      </c>
      <c r="G188">
        <f>(1/3*100*J186)/1000</f>
        <v>3.8089006776666663E-2</v>
      </c>
      <c r="H188" s="1" t="s">
        <v>19</v>
      </c>
      <c r="J188">
        <f>1.025*G188</f>
        <v>3.9041231946083325E-2</v>
      </c>
      <c r="K188" s="1" t="s">
        <v>20</v>
      </c>
      <c r="L188" s="23">
        <f>(G188/(1103.34*333.93*200))*1000000000</f>
        <v>0.51689799985670792</v>
      </c>
    </row>
    <row r="189" spans="4:12">
      <c r="D189" s="1" t="s">
        <v>15</v>
      </c>
      <c r="G189">
        <f>(1/3*100*K186)/1000</f>
        <v>2.5924666666666666E-3</v>
      </c>
      <c r="H189" s="1" t="s">
        <v>18</v>
      </c>
      <c r="J189">
        <f>G189/G188</f>
        <v>6.80633832713856E-2</v>
      </c>
      <c r="K189" t="s">
        <v>61</v>
      </c>
      <c r="L189" s="23">
        <f>(G179/(333.93*200))*1000000</f>
        <v>0.7287754020303655</v>
      </c>
    </row>
    <row r="190" spans="4:12">
      <c r="D190" s="1" t="s">
        <v>16</v>
      </c>
      <c r="G190">
        <f>(1/3*100*100*L186)/1000000</f>
        <v>2.1346932755333333E-2</v>
      </c>
      <c r="H190" s="1" t="s">
        <v>17</v>
      </c>
      <c r="J190">
        <f>G190/G188</f>
        <v>0.56044865859853477</v>
      </c>
      <c r="K190" t="s">
        <v>59</v>
      </c>
      <c r="L190" s="23">
        <f>L188/L189</f>
        <v>0.70926927338193912</v>
      </c>
    </row>
    <row r="195" spans="7:7">
      <c r="G195" s="10"/>
    </row>
  </sheetData>
  <mergeCells count="8">
    <mergeCell ref="H146:I146"/>
    <mergeCell ref="H170:I170"/>
    <mergeCell ref="H2:I2"/>
    <mergeCell ref="H26:I26"/>
    <mergeCell ref="H51:I51"/>
    <mergeCell ref="H75:I75"/>
    <mergeCell ref="H98:I98"/>
    <mergeCell ref="H122:I1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26"/>
  <sheetViews>
    <sheetView zoomScaleNormal="100" workbookViewId="0">
      <selection activeCell="O16" sqref="O16"/>
    </sheetView>
  </sheetViews>
  <sheetFormatPr defaultRowHeight="14.4"/>
  <cols>
    <col min="7" max="7" width="14.44140625" customWidth="1"/>
    <col min="8" max="8" width="15.109375" customWidth="1"/>
    <col min="9" max="9" width="9.77734375" customWidth="1"/>
    <col min="10" max="10" width="11.6640625" customWidth="1"/>
    <col min="11" max="11" width="12.21875" customWidth="1"/>
    <col min="13" max="13" width="11.33203125" bestFit="1" customWidth="1"/>
  </cols>
  <sheetData>
    <row r="5" spans="3:11" ht="15" thickBot="1"/>
    <row r="6" spans="3:11" ht="15" thickBot="1">
      <c r="F6" s="67" t="s">
        <v>66</v>
      </c>
      <c r="G6" s="68"/>
      <c r="I6" s="16"/>
      <c r="J6" s="16"/>
    </row>
    <row r="7" spans="3:11">
      <c r="I7" s="16"/>
    </row>
    <row r="8" spans="3:11" ht="15.6">
      <c r="C8" s="17" t="s">
        <v>23</v>
      </c>
      <c r="D8" s="17" t="s">
        <v>24</v>
      </c>
      <c r="E8" s="17" t="s">
        <v>25</v>
      </c>
      <c r="F8" s="17" t="s">
        <v>26</v>
      </c>
      <c r="G8" s="17" t="s">
        <v>27</v>
      </c>
      <c r="H8" s="17" t="s">
        <v>28</v>
      </c>
      <c r="I8" s="18" t="s">
        <v>29</v>
      </c>
      <c r="J8" s="17" t="s">
        <v>30</v>
      </c>
      <c r="K8" s="17" t="s">
        <v>31</v>
      </c>
    </row>
    <row r="9" spans="3:11">
      <c r="C9" s="2">
        <v>0</v>
      </c>
      <c r="D9" s="2">
        <v>1</v>
      </c>
      <c r="E9" s="46">
        <v>0</v>
      </c>
      <c r="F9" s="13">
        <f>E9*D9</f>
        <v>0</v>
      </c>
      <c r="G9" s="13">
        <v>0</v>
      </c>
      <c r="H9" s="46">
        <f>F9*G9</f>
        <v>0</v>
      </c>
      <c r="I9" s="13">
        <f>H9*G9</f>
        <v>0</v>
      </c>
      <c r="J9" s="50">
        <f>E9*E9</f>
        <v>0</v>
      </c>
      <c r="K9" s="49">
        <f>J9*F9</f>
        <v>0</v>
      </c>
    </row>
    <row r="10" spans="3:11">
      <c r="C10" s="2">
        <v>1</v>
      </c>
      <c r="D10" s="2">
        <v>4</v>
      </c>
      <c r="E10" s="46">
        <v>2.2000000000000001E-3</v>
      </c>
      <c r="F10" s="13">
        <f t="shared" ref="F10:F19" si="0">E10*D10</f>
        <v>8.8000000000000005E-3</v>
      </c>
      <c r="G10" s="13">
        <v>1</v>
      </c>
      <c r="H10" s="46">
        <f t="shared" ref="H10:H19" si="1">F10*G10</f>
        <v>8.8000000000000005E-3</v>
      </c>
      <c r="I10" s="13">
        <f t="shared" ref="I10:I19" si="2">H10*G10</f>
        <v>8.8000000000000005E-3</v>
      </c>
      <c r="J10" s="50">
        <f t="shared" ref="J10:J19" si="3">E10*E10</f>
        <v>4.8400000000000002E-6</v>
      </c>
      <c r="K10" s="49">
        <f t="shared" ref="K10:K19" si="4">J10*F10</f>
        <v>4.2592000000000002E-8</v>
      </c>
    </row>
    <row r="11" spans="3:11">
      <c r="C11" s="2">
        <v>2</v>
      </c>
      <c r="D11" s="2">
        <v>2</v>
      </c>
      <c r="E11" s="46">
        <v>1.0999999999999999E-2</v>
      </c>
      <c r="F11" s="13">
        <f t="shared" si="0"/>
        <v>2.1999999999999999E-2</v>
      </c>
      <c r="G11" s="13">
        <v>2</v>
      </c>
      <c r="H11" s="46">
        <f t="shared" si="1"/>
        <v>4.3999999999999997E-2</v>
      </c>
      <c r="I11" s="13">
        <f t="shared" si="2"/>
        <v>8.7999999999999995E-2</v>
      </c>
      <c r="J11" s="50">
        <f t="shared" si="3"/>
        <v>1.2099999999999999E-4</v>
      </c>
      <c r="K11" s="49">
        <f t="shared" si="4"/>
        <v>2.6619999999999997E-6</v>
      </c>
    </row>
    <row r="12" spans="3:11">
      <c r="C12" s="2">
        <v>3</v>
      </c>
      <c r="D12" s="2">
        <v>4</v>
      </c>
      <c r="E12" s="46">
        <v>1.9399999999999997E-2</v>
      </c>
      <c r="F12" s="13">
        <f t="shared" si="0"/>
        <v>7.7599999999999988E-2</v>
      </c>
      <c r="G12" s="13">
        <v>3</v>
      </c>
      <c r="H12" s="46">
        <f t="shared" si="1"/>
        <v>0.23279999999999995</v>
      </c>
      <c r="I12" s="13">
        <f t="shared" si="2"/>
        <v>0.69839999999999991</v>
      </c>
      <c r="J12" s="50">
        <f t="shared" si="3"/>
        <v>3.763599999999999E-4</v>
      </c>
      <c r="K12" s="49">
        <f t="shared" si="4"/>
        <v>2.9205535999999988E-5</v>
      </c>
    </row>
    <row r="13" spans="3:11">
      <c r="C13" s="2">
        <v>4</v>
      </c>
      <c r="D13" s="2">
        <v>2</v>
      </c>
      <c r="E13" s="46">
        <v>3.1800000000000002E-2</v>
      </c>
      <c r="F13" s="13">
        <f t="shared" si="0"/>
        <v>6.3600000000000004E-2</v>
      </c>
      <c r="G13" s="13">
        <v>4</v>
      </c>
      <c r="H13" s="46">
        <f t="shared" si="1"/>
        <v>0.25440000000000002</v>
      </c>
      <c r="I13" s="13">
        <f t="shared" si="2"/>
        <v>1.0176000000000001</v>
      </c>
      <c r="J13" s="50">
        <f t="shared" si="3"/>
        <v>1.0112400000000001E-3</v>
      </c>
      <c r="K13" s="49">
        <f t="shared" si="4"/>
        <v>6.4314864000000012E-5</v>
      </c>
    </row>
    <row r="14" spans="3:11">
      <c r="C14" s="2">
        <v>5</v>
      </c>
      <c r="D14" s="2">
        <v>4</v>
      </c>
      <c r="E14" s="46">
        <v>2.75E-2</v>
      </c>
      <c r="F14" s="13">
        <f t="shared" si="0"/>
        <v>0.11</v>
      </c>
      <c r="G14" s="13">
        <v>5</v>
      </c>
      <c r="H14" s="46">
        <f t="shared" si="1"/>
        <v>0.55000000000000004</v>
      </c>
      <c r="I14" s="13">
        <f t="shared" si="2"/>
        <v>2.75</v>
      </c>
      <c r="J14" s="50">
        <f t="shared" si="3"/>
        <v>7.5624999999999998E-4</v>
      </c>
      <c r="K14" s="49">
        <f t="shared" si="4"/>
        <v>8.3187499999999996E-5</v>
      </c>
    </row>
    <row r="15" spans="3:11">
      <c r="C15" s="2">
        <v>6</v>
      </c>
      <c r="D15" s="2">
        <v>2</v>
      </c>
      <c r="E15" s="46">
        <v>0</v>
      </c>
      <c r="F15" s="13">
        <f t="shared" si="0"/>
        <v>0</v>
      </c>
      <c r="G15" s="13">
        <v>6</v>
      </c>
      <c r="H15" s="46">
        <f t="shared" si="1"/>
        <v>0</v>
      </c>
      <c r="I15" s="13">
        <f t="shared" si="2"/>
        <v>0</v>
      </c>
      <c r="J15" s="50">
        <f t="shared" si="3"/>
        <v>0</v>
      </c>
      <c r="K15" s="49">
        <f t="shared" si="4"/>
        <v>0</v>
      </c>
    </row>
    <row r="16" spans="3:11">
      <c r="C16" s="2">
        <v>7</v>
      </c>
      <c r="D16" s="2">
        <v>4</v>
      </c>
      <c r="E16" s="46">
        <v>0</v>
      </c>
      <c r="F16" s="13">
        <f t="shared" si="0"/>
        <v>0</v>
      </c>
      <c r="G16" s="13">
        <v>7</v>
      </c>
      <c r="H16" s="46">
        <f t="shared" si="1"/>
        <v>0</v>
      </c>
      <c r="I16" s="13">
        <f t="shared" si="2"/>
        <v>0</v>
      </c>
      <c r="J16" s="50">
        <f t="shared" si="3"/>
        <v>0</v>
      </c>
      <c r="K16" s="49">
        <f t="shared" si="4"/>
        <v>0</v>
      </c>
    </row>
    <row r="17" spans="3:11">
      <c r="C17" s="2">
        <v>8</v>
      </c>
      <c r="D17" s="2">
        <v>2</v>
      </c>
      <c r="E17" s="46">
        <v>0</v>
      </c>
      <c r="F17" s="13">
        <f t="shared" si="0"/>
        <v>0</v>
      </c>
      <c r="G17" s="13">
        <v>8</v>
      </c>
      <c r="H17" s="46">
        <f t="shared" si="1"/>
        <v>0</v>
      </c>
      <c r="I17" s="13">
        <f t="shared" si="2"/>
        <v>0</v>
      </c>
      <c r="J17" s="50">
        <f t="shared" si="3"/>
        <v>0</v>
      </c>
      <c r="K17" s="49">
        <f t="shared" si="4"/>
        <v>0</v>
      </c>
    </row>
    <row r="18" spans="3:11">
      <c r="C18" s="2">
        <v>9</v>
      </c>
      <c r="D18" s="2">
        <v>4</v>
      </c>
      <c r="E18" s="46">
        <v>0</v>
      </c>
      <c r="F18" s="13">
        <f t="shared" si="0"/>
        <v>0</v>
      </c>
      <c r="G18" s="13">
        <v>9</v>
      </c>
      <c r="H18" s="46">
        <f t="shared" si="1"/>
        <v>0</v>
      </c>
      <c r="I18" s="13">
        <f t="shared" si="2"/>
        <v>0</v>
      </c>
      <c r="J18" s="50">
        <f t="shared" si="3"/>
        <v>0</v>
      </c>
      <c r="K18" s="49">
        <f t="shared" si="4"/>
        <v>0</v>
      </c>
    </row>
    <row r="19" spans="3:11">
      <c r="C19" s="11">
        <v>10</v>
      </c>
      <c r="D19" s="11">
        <v>1</v>
      </c>
      <c r="E19" s="47">
        <v>0</v>
      </c>
      <c r="F19" s="55">
        <f t="shared" si="0"/>
        <v>0</v>
      </c>
      <c r="G19" s="55">
        <v>10</v>
      </c>
      <c r="H19" s="47">
        <f t="shared" si="1"/>
        <v>0</v>
      </c>
      <c r="I19" s="55">
        <f t="shared" si="2"/>
        <v>0</v>
      </c>
      <c r="J19" s="59">
        <f t="shared" si="3"/>
        <v>0</v>
      </c>
      <c r="K19" s="56">
        <f t="shared" si="4"/>
        <v>0</v>
      </c>
    </row>
    <row r="20" spans="3:11">
      <c r="C20" s="2"/>
      <c r="D20" s="2"/>
      <c r="E20" s="2"/>
      <c r="F20" s="13">
        <f>SUM(F9:F19)</f>
        <v>0.28199999999999997</v>
      </c>
      <c r="G20" s="2"/>
      <c r="H20" s="13">
        <f>SUM(H9:H19)</f>
        <v>1.0900000000000001</v>
      </c>
      <c r="I20" s="13">
        <f>SUM(I9:I19)</f>
        <v>4.5628000000000002</v>
      </c>
      <c r="J20" s="2"/>
      <c r="K20" s="49">
        <f>SUM(K9:K19)</f>
        <v>1.7941249199999998E-4</v>
      </c>
    </row>
    <row r="24" spans="3:11" ht="15.6">
      <c r="C24" t="s">
        <v>32</v>
      </c>
      <c r="E24" s="19"/>
      <c r="H24">
        <f>(2/3*100*F20)/1000</f>
        <v>1.8799999999999997E-2</v>
      </c>
      <c r="J24" t="s">
        <v>38</v>
      </c>
      <c r="K24">
        <f>H28/'Part-1'!G20</f>
        <v>1.4024701797092811</v>
      </c>
    </row>
    <row r="25" spans="3:11">
      <c r="C25" t="s">
        <v>33</v>
      </c>
      <c r="H25">
        <f>(2/3*100*100*H20)/1000000</f>
        <v>7.2666666666666669E-3</v>
      </c>
      <c r="J25" t="s">
        <v>39</v>
      </c>
      <c r="K25">
        <f>(('Part-1'!J20*'Part-2'!K24)/(100*489.04))*1000</f>
        <v>4.8860545618588181E-6</v>
      </c>
    </row>
    <row r="26" spans="3:11" ht="15.6">
      <c r="C26" t="s">
        <v>34</v>
      </c>
      <c r="H26">
        <f>(100*(H20/F20))/1000</f>
        <v>0.38652482269503552</v>
      </c>
      <c r="J26" t="s">
        <v>40</v>
      </c>
      <c r="K26">
        <f>H29/'Part-1'!G20</f>
        <v>2.3985842119174063E-2</v>
      </c>
    </row>
    <row r="27" spans="3:11">
      <c r="C27" t="s">
        <v>35</v>
      </c>
      <c r="H27">
        <f>(2/3*100*100*100*I20)/1000000000</f>
        <v>3.0418666666666666E-3</v>
      </c>
      <c r="J27" t="s">
        <v>41</v>
      </c>
      <c r="K27">
        <f>(H24*1.025)/100</f>
        <v>1.9269999999999997E-4</v>
      </c>
    </row>
    <row r="28" spans="3:11" ht="15.6">
      <c r="C28" t="s">
        <v>36</v>
      </c>
      <c r="H28">
        <f>H27-H24*(H26^2)</f>
        <v>2.3311962174940842E-4</v>
      </c>
      <c r="J28" t="s">
        <v>42</v>
      </c>
      <c r="K28">
        <f>(H24/(489.04*63.6))*1000000</f>
        <v>0.60444438957289681</v>
      </c>
    </row>
    <row r="29" spans="3:11">
      <c r="C29" t="s">
        <v>37</v>
      </c>
      <c r="H29">
        <f>(2/9*100*K20)/1000</f>
        <v>3.9869442666666659E-6</v>
      </c>
    </row>
    <row r="33" spans="3:11" ht="15" thickBot="1"/>
    <row r="34" spans="3:11" ht="15" thickBot="1">
      <c r="F34" s="67" t="s">
        <v>67</v>
      </c>
      <c r="G34" s="68"/>
      <c r="I34" s="16"/>
      <c r="J34" s="16"/>
    </row>
    <row r="35" spans="3:11">
      <c r="I35" s="16"/>
    </row>
    <row r="36" spans="3:11" ht="15.6">
      <c r="C36" s="17" t="s">
        <v>23</v>
      </c>
      <c r="D36" s="17" t="s">
        <v>24</v>
      </c>
      <c r="E36" s="17" t="s">
        <v>25</v>
      </c>
      <c r="F36" s="17" t="s">
        <v>26</v>
      </c>
      <c r="G36" s="17" t="s">
        <v>27</v>
      </c>
      <c r="H36" s="17" t="s">
        <v>28</v>
      </c>
      <c r="I36" s="18" t="s">
        <v>29</v>
      </c>
      <c r="J36" s="17" t="s">
        <v>30</v>
      </c>
      <c r="K36" s="17" t="s">
        <v>31</v>
      </c>
    </row>
    <row r="37" spans="3:11">
      <c r="C37" s="2">
        <v>0</v>
      </c>
      <c r="D37" s="2">
        <v>1</v>
      </c>
      <c r="E37" s="46">
        <v>0</v>
      </c>
      <c r="F37" s="13">
        <f>E37*D37</f>
        <v>0</v>
      </c>
      <c r="G37" s="13">
        <v>0</v>
      </c>
      <c r="H37" s="46">
        <f>F37*G37</f>
        <v>0</v>
      </c>
      <c r="I37" s="13">
        <f>H37*G37</f>
        <v>0</v>
      </c>
      <c r="J37" s="50">
        <f>E37*E37</f>
        <v>0</v>
      </c>
      <c r="K37" s="49">
        <f>J37*F37</f>
        <v>0</v>
      </c>
    </row>
    <row r="38" spans="3:11">
      <c r="C38" s="2">
        <v>1</v>
      </c>
      <c r="D38" s="2">
        <v>4</v>
      </c>
      <c r="E38" s="46">
        <v>0.01</v>
      </c>
      <c r="F38" s="13">
        <f t="shared" ref="F38:F47" si="5">E38*D38</f>
        <v>0.04</v>
      </c>
      <c r="G38" s="13">
        <v>1</v>
      </c>
      <c r="H38" s="46">
        <f t="shared" ref="H38:H47" si="6">F38*G38</f>
        <v>0.04</v>
      </c>
      <c r="I38" s="13">
        <f t="shared" ref="I38:I47" si="7">H38*G38</f>
        <v>0.04</v>
      </c>
      <c r="J38" s="50">
        <f t="shared" ref="J38:J47" si="8">E38*E38</f>
        <v>1E-4</v>
      </c>
      <c r="K38" s="49">
        <f t="shared" ref="K38:K47" si="9">J38*F38</f>
        <v>4.0000000000000007E-6</v>
      </c>
    </row>
    <row r="39" spans="3:11">
      <c r="C39" s="2">
        <v>2</v>
      </c>
      <c r="D39" s="2">
        <v>2</v>
      </c>
      <c r="E39" s="46">
        <v>2.4E-2</v>
      </c>
      <c r="F39" s="13">
        <f t="shared" si="5"/>
        <v>4.8000000000000001E-2</v>
      </c>
      <c r="G39" s="13">
        <v>2</v>
      </c>
      <c r="H39" s="46">
        <f t="shared" si="6"/>
        <v>9.6000000000000002E-2</v>
      </c>
      <c r="I39" s="13">
        <f t="shared" si="7"/>
        <v>0.192</v>
      </c>
      <c r="J39" s="50">
        <f t="shared" si="8"/>
        <v>5.7600000000000001E-4</v>
      </c>
      <c r="K39" s="49">
        <f t="shared" si="9"/>
        <v>2.7648E-5</v>
      </c>
    </row>
    <row r="40" spans="3:11">
      <c r="C40" s="2">
        <v>3</v>
      </c>
      <c r="D40" s="2">
        <v>4</v>
      </c>
      <c r="E40" s="46">
        <v>4.1500000000000002E-2</v>
      </c>
      <c r="F40" s="13">
        <f t="shared" si="5"/>
        <v>0.16600000000000001</v>
      </c>
      <c r="G40" s="13">
        <v>3</v>
      </c>
      <c r="H40" s="46">
        <f t="shared" si="6"/>
        <v>0.498</v>
      </c>
      <c r="I40" s="13">
        <f t="shared" si="7"/>
        <v>1.494</v>
      </c>
      <c r="J40" s="50">
        <f t="shared" si="8"/>
        <v>1.7222500000000003E-3</v>
      </c>
      <c r="K40" s="49">
        <f t="shared" si="9"/>
        <v>2.8589350000000007E-4</v>
      </c>
    </row>
    <row r="41" spans="3:11">
      <c r="C41" s="2">
        <v>4</v>
      </c>
      <c r="D41" s="2">
        <v>2</v>
      </c>
      <c r="E41" s="46">
        <v>7.0000000000000007E-2</v>
      </c>
      <c r="F41" s="13">
        <f t="shared" si="5"/>
        <v>0.14000000000000001</v>
      </c>
      <c r="G41" s="13">
        <v>4</v>
      </c>
      <c r="H41" s="46">
        <f t="shared" si="6"/>
        <v>0.56000000000000005</v>
      </c>
      <c r="I41" s="13">
        <f t="shared" si="7"/>
        <v>2.2400000000000002</v>
      </c>
      <c r="J41" s="50">
        <f t="shared" si="8"/>
        <v>4.9000000000000007E-3</v>
      </c>
      <c r="K41" s="49">
        <f t="shared" si="9"/>
        <v>6.8600000000000019E-4</v>
      </c>
    </row>
    <row r="42" spans="3:11">
      <c r="C42" s="2">
        <v>5</v>
      </c>
      <c r="D42" s="2">
        <v>4</v>
      </c>
      <c r="E42" s="46">
        <v>9.2499999999999999E-2</v>
      </c>
      <c r="F42" s="13">
        <f t="shared" si="5"/>
        <v>0.37</v>
      </c>
      <c r="G42" s="13">
        <v>5</v>
      </c>
      <c r="H42" s="46">
        <f t="shared" si="6"/>
        <v>1.85</v>
      </c>
      <c r="I42" s="13">
        <f t="shared" si="7"/>
        <v>9.25</v>
      </c>
      <c r="J42" s="50">
        <f t="shared" si="8"/>
        <v>8.5562499999999996E-3</v>
      </c>
      <c r="K42" s="49">
        <f t="shared" si="9"/>
        <v>3.1658124999999998E-3</v>
      </c>
    </row>
    <row r="43" spans="3:11">
      <c r="C43" s="2">
        <v>6</v>
      </c>
      <c r="D43" s="2">
        <v>2</v>
      </c>
      <c r="E43" s="46">
        <v>0.10100000000000001</v>
      </c>
      <c r="F43" s="13">
        <f t="shared" si="5"/>
        <v>0.20200000000000001</v>
      </c>
      <c r="G43" s="13">
        <v>6</v>
      </c>
      <c r="H43" s="46">
        <f t="shared" si="6"/>
        <v>1.2120000000000002</v>
      </c>
      <c r="I43" s="13">
        <f t="shared" si="7"/>
        <v>7.2720000000000011</v>
      </c>
      <c r="J43" s="50">
        <f t="shared" si="8"/>
        <v>1.0201000000000002E-2</v>
      </c>
      <c r="K43" s="49">
        <f t="shared" si="9"/>
        <v>2.0606020000000004E-3</v>
      </c>
    </row>
    <row r="44" spans="3:11">
      <c r="C44" s="2">
        <v>7</v>
      </c>
      <c r="D44" s="2">
        <v>4</v>
      </c>
      <c r="E44" s="46">
        <v>8.4000000000000005E-2</v>
      </c>
      <c r="F44" s="13">
        <f t="shared" si="5"/>
        <v>0.33600000000000002</v>
      </c>
      <c r="G44" s="13">
        <v>7</v>
      </c>
      <c r="H44" s="46">
        <f t="shared" si="6"/>
        <v>2.3520000000000003</v>
      </c>
      <c r="I44" s="13">
        <f t="shared" si="7"/>
        <v>16.464000000000002</v>
      </c>
      <c r="J44" s="50">
        <f t="shared" si="8"/>
        <v>7.0560000000000006E-3</v>
      </c>
      <c r="K44" s="49">
        <f t="shared" si="9"/>
        <v>2.3708160000000004E-3</v>
      </c>
    </row>
    <row r="45" spans="3:11">
      <c r="C45" s="2">
        <v>8</v>
      </c>
      <c r="D45" s="2">
        <v>2</v>
      </c>
      <c r="E45" s="46">
        <v>0</v>
      </c>
      <c r="F45" s="13">
        <f t="shared" si="5"/>
        <v>0</v>
      </c>
      <c r="G45" s="13">
        <v>8</v>
      </c>
      <c r="H45" s="46">
        <f t="shared" si="6"/>
        <v>0</v>
      </c>
      <c r="I45" s="13">
        <f t="shared" si="7"/>
        <v>0</v>
      </c>
      <c r="J45" s="50">
        <f t="shared" si="8"/>
        <v>0</v>
      </c>
      <c r="K45" s="49">
        <f t="shared" si="9"/>
        <v>0</v>
      </c>
    </row>
    <row r="46" spans="3:11">
      <c r="C46" s="2">
        <v>9</v>
      </c>
      <c r="D46" s="2">
        <v>4</v>
      </c>
      <c r="E46" s="46">
        <v>0</v>
      </c>
      <c r="F46" s="13">
        <f t="shared" si="5"/>
        <v>0</v>
      </c>
      <c r="G46" s="13">
        <v>9</v>
      </c>
      <c r="H46" s="46">
        <f t="shared" si="6"/>
        <v>0</v>
      </c>
      <c r="I46" s="13">
        <f t="shared" si="7"/>
        <v>0</v>
      </c>
      <c r="J46" s="50">
        <f t="shared" si="8"/>
        <v>0</v>
      </c>
      <c r="K46" s="49">
        <f t="shared" si="9"/>
        <v>0</v>
      </c>
    </row>
    <row r="47" spans="3:11">
      <c r="C47" s="11">
        <v>10</v>
      </c>
      <c r="D47" s="11">
        <v>1</v>
      </c>
      <c r="E47" s="47">
        <v>0</v>
      </c>
      <c r="F47" s="55">
        <f t="shared" si="5"/>
        <v>0</v>
      </c>
      <c r="G47" s="55">
        <v>10</v>
      </c>
      <c r="H47" s="47">
        <f t="shared" si="6"/>
        <v>0</v>
      </c>
      <c r="I47" s="55">
        <f t="shared" si="7"/>
        <v>0</v>
      </c>
      <c r="J47" s="59">
        <f t="shared" si="8"/>
        <v>0</v>
      </c>
      <c r="K47" s="56">
        <f t="shared" si="9"/>
        <v>0</v>
      </c>
    </row>
    <row r="48" spans="3:11">
      <c r="C48" s="2"/>
      <c r="D48" s="2"/>
      <c r="E48" s="2"/>
      <c r="F48" s="13">
        <f>SUM(F37:F47)</f>
        <v>1.302</v>
      </c>
      <c r="G48" s="2"/>
      <c r="H48" s="13">
        <f>SUM(H37:H47)</f>
        <v>6.6080000000000005</v>
      </c>
      <c r="I48" s="13">
        <f>SUM(I37:I47)</f>
        <v>36.952000000000005</v>
      </c>
      <c r="J48" s="2"/>
      <c r="K48" s="49">
        <f>SUM(K37:K47)</f>
        <v>8.6007719999999996E-3</v>
      </c>
    </row>
    <row r="52" spans="3:11" ht="15.6">
      <c r="C52" t="s">
        <v>32</v>
      </c>
      <c r="E52" s="19"/>
      <c r="H52">
        <f>(2/3*100*F48)/1000</f>
        <v>8.6800000000000002E-2</v>
      </c>
      <c r="J52" t="s">
        <v>38</v>
      </c>
      <c r="K52">
        <f>H56/'Part-1'!G44</f>
        <v>1.7924767824992687</v>
      </c>
    </row>
    <row r="53" spans="3:11">
      <c r="C53" t="s">
        <v>33</v>
      </c>
      <c r="H53">
        <f>(2/3*100*100*H48)/1000000</f>
        <v>4.4053333333333333E-2</v>
      </c>
      <c r="J53" t="s">
        <v>39</v>
      </c>
      <c r="K53">
        <f>(('Part-1'!J44*'Part-2'!K52)/(100*731.54))*1000</f>
        <v>3.1896084491272656E-5</v>
      </c>
    </row>
    <row r="54" spans="3:11" ht="15.6">
      <c r="C54" t="s">
        <v>34</v>
      </c>
      <c r="H54">
        <f>(100*(H48/F48))/1000</f>
        <v>0.50752688172043003</v>
      </c>
      <c r="J54" t="s">
        <v>40</v>
      </c>
      <c r="K54">
        <f>H57/'Part-1'!G44</f>
        <v>0.15049666449447729</v>
      </c>
    </row>
    <row r="55" spans="3:11">
      <c r="C55" t="s">
        <v>35</v>
      </c>
      <c r="H55">
        <f>(2/3*100*100*100*I48)/1000000000</f>
        <v>2.4634666666666669E-2</v>
      </c>
      <c r="J55" t="s">
        <v>41</v>
      </c>
      <c r="K55">
        <f>(H52*1.025)/100</f>
        <v>8.8969999999999989E-4</v>
      </c>
    </row>
    <row r="56" spans="3:11" ht="15.6">
      <c r="C56" t="s">
        <v>36</v>
      </c>
      <c r="H56">
        <f>H55-H52*(H54^2)</f>
        <v>2.2764157706093267E-3</v>
      </c>
      <c r="J56" t="s">
        <v>42</v>
      </c>
      <c r="K56">
        <f>(H52/(731.54*191.45))*1000000</f>
        <v>0.61976390094193623</v>
      </c>
    </row>
    <row r="57" spans="3:11">
      <c r="C57" t="s">
        <v>37</v>
      </c>
      <c r="H57">
        <f>(2/9*100*K48)/1000</f>
        <v>1.9112826666666666E-4</v>
      </c>
    </row>
    <row r="61" spans="3:11" ht="15" thickBot="1"/>
    <row r="62" spans="3:11" ht="15" thickBot="1">
      <c r="F62" s="67" t="s">
        <v>68</v>
      </c>
      <c r="G62" s="68"/>
      <c r="I62" s="16"/>
      <c r="J62" s="16"/>
    </row>
    <row r="63" spans="3:11">
      <c r="I63" s="16"/>
    </row>
    <row r="64" spans="3:11" ht="15.6">
      <c r="C64" s="17" t="s">
        <v>23</v>
      </c>
      <c r="D64" s="17" t="s">
        <v>24</v>
      </c>
      <c r="E64" s="17" t="s">
        <v>25</v>
      </c>
      <c r="F64" s="17" t="s">
        <v>26</v>
      </c>
      <c r="G64" s="17" t="s">
        <v>27</v>
      </c>
      <c r="H64" s="17" t="s">
        <v>28</v>
      </c>
      <c r="I64" s="18" t="s">
        <v>29</v>
      </c>
      <c r="J64" s="17" t="s">
        <v>30</v>
      </c>
      <c r="K64" s="17" t="s">
        <v>31</v>
      </c>
    </row>
    <row r="65" spans="3:11">
      <c r="C65" s="2">
        <v>0</v>
      </c>
      <c r="D65" s="2">
        <v>1</v>
      </c>
      <c r="E65" s="46">
        <v>0</v>
      </c>
      <c r="F65" s="13">
        <f>E65*D65</f>
        <v>0</v>
      </c>
      <c r="G65" s="13">
        <v>0</v>
      </c>
      <c r="H65" s="46">
        <f>F65*G65</f>
        <v>0</v>
      </c>
      <c r="I65" s="13">
        <f>H65*G65</f>
        <v>0</v>
      </c>
      <c r="J65" s="50">
        <f>E65*E65</f>
        <v>0</v>
      </c>
      <c r="K65" s="49">
        <f>J65*F65</f>
        <v>0</v>
      </c>
    </row>
    <row r="66" spans="3:11">
      <c r="C66" s="2">
        <v>1</v>
      </c>
      <c r="D66" s="2">
        <v>4</v>
      </c>
      <c r="E66" s="46">
        <v>2.07E-2</v>
      </c>
      <c r="F66" s="13">
        <f t="shared" ref="F66:F75" si="10">E66*D66</f>
        <v>8.2799999999999999E-2</v>
      </c>
      <c r="G66" s="13">
        <v>1</v>
      </c>
      <c r="H66" s="46">
        <f t="shared" ref="H66:H75" si="11">F66*G66</f>
        <v>8.2799999999999999E-2</v>
      </c>
      <c r="I66" s="13">
        <f t="shared" ref="I66:I75" si="12">H66*G66</f>
        <v>8.2799999999999999E-2</v>
      </c>
      <c r="J66" s="50">
        <f t="shared" ref="J66:J75" si="13">E66*E66</f>
        <v>4.2849000000000001E-4</v>
      </c>
      <c r="K66" s="49">
        <f t="shared" ref="K66:K75" si="14">J66*F66</f>
        <v>3.5478972E-5</v>
      </c>
    </row>
    <row r="67" spans="3:11">
      <c r="C67" s="2">
        <v>2</v>
      </c>
      <c r="D67" s="2">
        <v>2</v>
      </c>
      <c r="E67" s="46">
        <v>4.0500000000000001E-2</v>
      </c>
      <c r="F67" s="13">
        <f t="shared" si="10"/>
        <v>8.1000000000000003E-2</v>
      </c>
      <c r="G67" s="13">
        <v>2</v>
      </c>
      <c r="H67" s="46">
        <f t="shared" si="11"/>
        <v>0.16200000000000001</v>
      </c>
      <c r="I67" s="13">
        <f t="shared" si="12"/>
        <v>0.32400000000000001</v>
      </c>
      <c r="J67" s="50">
        <f t="shared" si="13"/>
        <v>1.64025E-3</v>
      </c>
      <c r="K67" s="49">
        <f t="shared" si="14"/>
        <v>1.3286025E-4</v>
      </c>
    </row>
    <row r="68" spans="3:11">
      <c r="C68" s="2">
        <v>3</v>
      </c>
      <c r="D68" s="2">
        <v>4</v>
      </c>
      <c r="E68" s="46">
        <v>7.0000000000000007E-2</v>
      </c>
      <c r="F68" s="13">
        <f t="shared" si="10"/>
        <v>0.28000000000000003</v>
      </c>
      <c r="G68" s="13">
        <v>3</v>
      </c>
      <c r="H68" s="46">
        <f t="shared" si="11"/>
        <v>0.84000000000000008</v>
      </c>
      <c r="I68" s="13">
        <f t="shared" si="12"/>
        <v>2.5200000000000005</v>
      </c>
      <c r="J68" s="50">
        <f t="shared" si="13"/>
        <v>4.9000000000000007E-3</v>
      </c>
      <c r="K68" s="49">
        <f t="shared" si="14"/>
        <v>1.3720000000000004E-3</v>
      </c>
    </row>
    <row r="69" spans="3:11" ht="15" customHeight="1">
      <c r="C69" s="2">
        <v>4</v>
      </c>
      <c r="D69" s="2">
        <v>2</v>
      </c>
      <c r="E69" s="46">
        <v>0.1125</v>
      </c>
      <c r="F69" s="13">
        <f t="shared" si="10"/>
        <v>0.22500000000000001</v>
      </c>
      <c r="G69" s="13">
        <v>4</v>
      </c>
      <c r="H69" s="46">
        <f t="shared" si="11"/>
        <v>0.9</v>
      </c>
      <c r="I69" s="13">
        <f t="shared" si="12"/>
        <v>3.6</v>
      </c>
      <c r="J69" s="50">
        <f t="shared" si="13"/>
        <v>1.2656250000000001E-2</v>
      </c>
      <c r="K69" s="49">
        <f t="shared" si="14"/>
        <v>2.8476562500000004E-3</v>
      </c>
    </row>
    <row r="70" spans="3:11">
      <c r="C70" s="2">
        <v>5</v>
      </c>
      <c r="D70" s="2">
        <v>4</v>
      </c>
      <c r="E70" s="46">
        <v>0.14749999999999999</v>
      </c>
      <c r="F70" s="13">
        <f t="shared" si="10"/>
        <v>0.59</v>
      </c>
      <c r="G70" s="13">
        <v>5</v>
      </c>
      <c r="H70" s="46">
        <f t="shared" si="11"/>
        <v>2.9499999999999997</v>
      </c>
      <c r="I70" s="13">
        <f t="shared" si="12"/>
        <v>14.749999999999998</v>
      </c>
      <c r="J70" s="50">
        <f t="shared" si="13"/>
        <v>2.1756249999999998E-2</v>
      </c>
      <c r="K70" s="49">
        <f t="shared" si="14"/>
        <v>1.2836187499999999E-2</v>
      </c>
    </row>
    <row r="71" spans="3:11">
      <c r="C71" s="2">
        <v>6</v>
      </c>
      <c r="D71" s="2">
        <v>2</v>
      </c>
      <c r="E71" s="46">
        <v>0.151</v>
      </c>
      <c r="F71" s="13">
        <f t="shared" si="10"/>
        <v>0.30199999999999999</v>
      </c>
      <c r="G71" s="13">
        <v>6</v>
      </c>
      <c r="H71" s="46">
        <f t="shared" si="11"/>
        <v>1.8119999999999998</v>
      </c>
      <c r="I71" s="13">
        <f t="shared" si="12"/>
        <v>10.872</v>
      </c>
      <c r="J71" s="50">
        <f t="shared" si="13"/>
        <v>2.2800999999999998E-2</v>
      </c>
      <c r="K71" s="49">
        <f t="shared" si="14"/>
        <v>6.8859019999999993E-3</v>
      </c>
    </row>
    <row r="72" spans="3:11">
      <c r="C72" s="2">
        <v>7</v>
      </c>
      <c r="D72" s="2">
        <v>4</v>
      </c>
      <c r="E72" s="46">
        <v>0.14949999999999999</v>
      </c>
      <c r="F72" s="13">
        <f t="shared" si="10"/>
        <v>0.59799999999999998</v>
      </c>
      <c r="G72" s="13">
        <v>7</v>
      </c>
      <c r="H72" s="46">
        <f t="shared" si="11"/>
        <v>4.1859999999999999</v>
      </c>
      <c r="I72" s="13">
        <f t="shared" si="12"/>
        <v>29.302</v>
      </c>
      <c r="J72" s="50">
        <f t="shared" si="13"/>
        <v>2.2350249999999999E-2</v>
      </c>
      <c r="K72" s="49">
        <f t="shared" si="14"/>
        <v>1.3365449499999999E-2</v>
      </c>
    </row>
    <row r="73" spans="3:11">
      <c r="C73" s="2">
        <v>8</v>
      </c>
      <c r="D73" s="2">
        <v>2</v>
      </c>
      <c r="E73" s="46">
        <v>0.14499999999999999</v>
      </c>
      <c r="F73" s="13">
        <f t="shared" si="10"/>
        <v>0.28999999999999998</v>
      </c>
      <c r="G73" s="13">
        <v>8</v>
      </c>
      <c r="H73" s="46">
        <f t="shared" si="11"/>
        <v>2.3199999999999998</v>
      </c>
      <c r="I73" s="13">
        <f t="shared" si="12"/>
        <v>18.559999999999999</v>
      </c>
      <c r="J73" s="50">
        <f t="shared" si="13"/>
        <v>2.1024999999999999E-2</v>
      </c>
      <c r="K73" s="49">
        <f t="shared" si="14"/>
        <v>6.0972499999999994E-3</v>
      </c>
    </row>
    <row r="74" spans="3:11">
      <c r="C74" s="2">
        <v>9</v>
      </c>
      <c r="D74" s="2">
        <v>4</v>
      </c>
      <c r="E74" s="46">
        <v>0.14000000000000001</v>
      </c>
      <c r="F74" s="13">
        <f t="shared" si="10"/>
        <v>0.56000000000000005</v>
      </c>
      <c r="G74" s="13">
        <v>9</v>
      </c>
      <c r="H74" s="46">
        <f t="shared" si="11"/>
        <v>5.0400000000000009</v>
      </c>
      <c r="I74" s="13">
        <f t="shared" si="12"/>
        <v>45.360000000000007</v>
      </c>
      <c r="J74" s="50">
        <f t="shared" si="13"/>
        <v>1.9600000000000003E-2</v>
      </c>
      <c r="K74" s="49">
        <f t="shared" si="14"/>
        <v>1.0976000000000003E-2</v>
      </c>
    </row>
    <row r="75" spans="3:11">
      <c r="C75" s="11">
        <v>10</v>
      </c>
      <c r="D75" s="11">
        <v>1</v>
      </c>
      <c r="E75" s="47">
        <v>0.13550000000000001</v>
      </c>
      <c r="F75" s="55">
        <f t="shared" si="10"/>
        <v>0.13550000000000001</v>
      </c>
      <c r="G75" s="55">
        <v>10</v>
      </c>
      <c r="H75" s="47">
        <f t="shared" si="11"/>
        <v>1.355</v>
      </c>
      <c r="I75" s="55">
        <f t="shared" si="12"/>
        <v>13.55</v>
      </c>
      <c r="J75" s="59">
        <f t="shared" si="13"/>
        <v>1.8360250000000002E-2</v>
      </c>
      <c r="K75" s="56">
        <f t="shared" si="14"/>
        <v>2.4878138750000006E-3</v>
      </c>
    </row>
    <row r="76" spans="3:11">
      <c r="C76" s="2"/>
      <c r="D76" s="2"/>
      <c r="E76" s="2"/>
      <c r="F76" s="13">
        <f>SUM(F65:F75)</f>
        <v>3.1442999999999999</v>
      </c>
      <c r="G76" s="2"/>
      <c r="H76" s="13">
        <f>SUM(H65:H75)</f>
        <v>19.6478</v>
      </c>
      <c r="I76" s="13">
        <f>SUM(I65:I75)</f>
        <v>138.92080000000001</v>
      </c>
      <c r="J76" s="2"/>
      <c r="K76" s="49">
        <f>SUM(K65:K75)</f>
        <v>5.7036598346999999E-2</v>
      </c>
    </row>
    <row r="80" spans="3:11" ht="15.6">
      <c r="C80" t="s">
        <v>32</v>
      </c>
      <c r="E80" s="19"/>
      <c r="H80">
        <f>(2/3*100*F76)/1000</f>
        <v>0.20961999999999995</v>
      </c>
      <c r="J80" t="s">
        <v>38</v>
      </c>
      <c r="K80">
        <f>H84/'Part-1'!G69</f>
        <v>2.049965457595631</v>
      </c>
    </row>
    <row r="81" spans="3:11">
      <c r="C81" t="s">
        <v>33</v>
      </c>
      <c r="H81">
        <f>(2/3*100*100*H76)/1000000</f>
        <v>0.13098533333333331</v>
      </c>
      <c r="J81" t="s">
        <v>39</v>
      </c>
      <c r="K81">
        <f>(('Part-1'!J69*'Part-2'!K80)/(100*989.5))*1000</f>
        <v>1.1151222035059481E-4</v>
      </c>
    </row>
    <row r="82" spans="3:11" ht="15.6">
      <c r="C82" t="s">
        <v>34</v>
      </c>
      <c r="H82">
        <f>(100*(H76/F76))/1000</f>
        <v>0.62487040040708586</v>
      </c>
      <c r="J82" t="s">
        <v>40</v>
      </c>
      <c r="K82">
        <f>H85/'Part-1'!G69</f>
        <v>0.24136441947321655</v>
      </c>
    </row>
    <row r="83" spans="3:11">
      <c r="C83" t="s">
        <v>35</v>
      </c>
      <c r="H83">
        <f>(2/3*100*100*100*I76)/1000000000</f>
        <v>9.2613866666666669E-2</v>
      </c>
      <c r="J83" t="s">
        <v>41</v>
      </c>
      <c r="K83">
        <f>(H80*1.025)/100</f>
        <v>2.1486049999999992E-3</v>
      </c>
    </row>
    <row r="84" spans="3:11" ht="15.6">
      <c r="C84" t="s">
        <v>36</v>
      </c>
      <c r="H84">
        <f>H83-H80*(H82^2)</f>
        <v>1.076500897921108E-2</v>
      </c>
      <c r="J84" t="s">
        <v>42</v>
      </c>
      <c r="K84">
        <f>(H80/(989.5*298.91))*1000000</f>
        <v>0.7087229127206649</v>
      </c>
    </row>
    <row r="85" spans="3:11">
      <c r="C85" t="s">
        <v>37</v>
      </c>
      <c r="H85">
        <f>(2/9*100*K76)/1000</f>
        <v>1.2674799632666667E-3</v>
      </c>
    </row>
    <row r="90" spans="3:11" ht="15" thickBot="1"/>
    <row r="91" spans="3:11" ht="15" thickBot="1">
      <c r="F91" s="67" t="s">
        <v>69</v>
      </c>
      <c r="G91" s="68"/>
      <c r="I91" s="16"/>
      <c r="J91" s="16"/>
    </row>
    <row r="92" spans="3:11">
      <c r="I92" s="16"/>
    </row>
    <row r="93" spans="3:11" ht="15.6">
      <c r="C93" s="17" t="s">
        <v>23</v>
      </c>
      <c r="D93" s="17" t="s">
        <v>24</v>
      </c>
      <c r="E93" s="17" t="s">
        <v>25</v>
      </c>
      <c r="F93" s="17" t="s">
        <v>26</v>
      </c>
      <c r="G93" s="17" t="s">
        <v>27</v>
      </c>
      <c r="H93" s="17" t="s">
        <v>28</v>
      </c>
      <c r="I93" s="18" t="s">
        <v>29</v>
      </c>
      <c r="J93" s="17" t="s">
        <v>30</v>
      </c>
      <c r="K93" s="17" t="s">
        <v>31</v>
      </c>
    </row>
    <row r="94" spans="3:11">
      <c r="C94" s="2">
        <v>0</v>
      </c>
      <c r="D94" s="2">
        <v>1</v>
      </c>
      <c r="E94" s="46">
        <v>3.5000000000000001E-3</v>
      </c>
      <c r="F94" s="13">
        <f>E94*D94</f>
        <v>3.5000000000000001E-3</v>
      </c>
      <c r="G94" s="13">
        <v>0</v>
      </c>
      <c r="H94" s="46">
        <f>F94*G94</f>
        <v>0</v>
      </c>
      <c r="I94" s="13">
        <f>H94*G94</f>
        <v>0</v>
      </c>
      <c r="J94" s="50">
        <f>E94*E94</f>
        <v>1.2250000000000001E-5</v>
      </c>
      <c r="K94" s="49">
        <f>J94*F94</f>
        <v>4.2875000000000005E-8</v>
      </c>
    </row>
    <row r="95" spans="3:11">
      <c r="C95" s="2">
        <v>1</v>
      </c>
      <c r="D95" s="2">
        <v>4</v>
      </c>
      <c r="E95" s="46">
        <v>3.5799999999999998E-2</v>
      </c>
      <c r="F95" s="13">
        <f t="shared" ref="F95:F104" si="15">E95*D95</f>
        <v>0.14319999999999999</v>
      </c>
      <c r="G95" s="13">
        <v>1</v>
      </c>
      <c r="H95" s="46">
        <f t="shared" ref="H95:H104" si="16">F95*G95</f>
        <v>0.14319999999999999</v>
      </c>
      <c r="I95" s="13">
        <f t="shared" ref="I95:I104" si="17">H95*G95</f>
        <v>0.14319999999999999</v>
      </c>
      <c r="J95" s="50">
        <f t="shared" ref="J95:J104" si="18">E95*E95</f>
        <v>1.2816399999999999E-3</v>
      </c>
      <c r="K95" s="49">
        <f t="shared" ref="K95:K104" si="19">J95*F95</f>
        <v>1.8353084799999997E-4</v>
      </c>
    </row>
    <row r="96" spans="3:11">
      <c r="C96" s="2">
        <v>2</v>
      </c>
      <c r="D96" s="2">
        <v>2</v>
      </c>
      <c r="E96" s="46">
        <v>6.5700000000000008E-2</v>
      </c>
      <c r="F96" s="13">
        <f t="shared" si="15"/>
        <v>0.13140000000000002</v>
      </c>
      <c r="G96" s="13">
        <v>2</v>
      </c>
      <c r="H96" s="46">
        <f t="shared" si="16"/>
        <v>0.26280000000000003</v>
      </c>
      <c r="I96" s="13">
        <f t="shared" si="17"/>
        <v>0.52560000000000007</v>
      </c>
      <c r="J96" s="50">
        <f t="shared" si="18"/>
        <v>4.316490000000001E-3</v>
      </c>
      <c r="K96" s="49">
        <f t="shared" si="19"/>
        <v>5.6718678600000023E-4</v>
      </c>
    </row>
    <row r="97" spans="3:11">
      <c r="C97" s="2">
        <v>3</v>
      </c>
      <c r="D97" s="2">
        <v>4</v>
      </c>
      <c r="E97" s="46">
        <v>0.111</v>
      </c>
      <c r="F97" s="13">
        <f t="shared" si="15"/>
        <v>0.44400000000000001</v>
      </c>
      <c r="G97" s="13">
        <v>3</v>
      </c>
      <c r="H97" s="46">
        <f t="shared" si="16"/>
        <v>1.3320000000000001</v>
      </c>
      <c r="I97" s="13">
        <f t="shared" si="17"/>
        <v>3.9960000000000004</v>
      </c>
      <c r="J97" s="50">
        <f t="shared" si="18"/>
        <v>1.2321E-2</v>
      </c>
      <c r="K97" s="49">
        <f t="shared" si="19"/>
        <v>5.470524E-3</v>
      </c>
    </row>
    <row r="98" spans="3:11">
      <c r="C98" s="2">
        <v>4</v>
      </c>
      <c r="D98" s="2">
        <v>2</v>
      </c>
      <c r="E98" s="46">
        <v>0.14299999999999999</v>
      </c>
      <c r="F98" s="13">
        <f t="shared" si="15"/>
        <v>0.28599999999999998</v>
      </c>
      <c r="G98" s="13">
        <v>4</v>
      </c>
      <c r="H98" s="46">
        <f t="shared" si="16"/>
        <v>1.1439999999999999</v>
      </c>
      <c r="I98" s="13">
        <f t="shared" si="17"/>
        <v>4.5759999999999996</v>
      </c>
      <c r="J98" s="50">
        <f t="shared" si="18"/>
        <v>2.0448999999999995E-2</v>
      </c>
      <c r="K98" s="49">
        <f t="shared" si="19"/>
        <v>5.848413999999998E-3</v>
      </c>
    </row>
    <row r="99" spans="3:11">
      <c r="C99" s="2">
        <v>5</v>
      </c>
      <c r="D99" s="2">
        <v>4</v>
      </c>
      <c r="E99" s="46">
        <v>0.1545</v>
      </c>
      <c r="F99" s="13">
        <f t="shared" si="15"/>
        <v>0.61799999999999999</v>
      </c>
      <c r="G99" s="13">
        <v>5</v>
      </c>
      <c r="H99" s="46">
        <f t="shared" si="16"/>
        <v>3.09</v>
      </c>
      <c r="I99" s="13">
        <f t="shared" si="17"/>
        <v>15.45</v>
      </c>
      <c r="J99" s="50">
        <f t="shared" si="18"/>
        <v>2.3870249999999999E-2</v>
      </c>
      <c r="K99" s="49">
        <f t="shared" si="19"/>
        <v>1.47518145E-2</v>
      </c>
    </row>
    <row r="100" spans="3:11">
      <c r="C100" s="2">
        <v>6</v>
      </c>
      <c r="D100" s="2">
        <v>2</v>
      </c>
      <c r="E100" s="46">
        <v>0.1545</v>
      </c>
      <c r="F100" s="13">
        <f t="shared" si="15"/>
        <v>0.309</v>
      </c>
      <c r="G100" s="13">
        <v>6</v>
      </c>
      <c r="H100" s="46">
        <f t="shared" si="16"/>
        <v>1.8540000000000001</v>
      </c>
      <c r="I100" s="13">
        <f t="shared" si="17"/>
        <v>11.124000000000001</v>
      </c>
      <c r="J100" s="50">
        <f t="shared" si="18"/>
        <v>2.3870249999999999E-2</v>
      </c>
      <c r="K100" s="49">
        <f t="shared" si="19"/>
        <v>7.37590725E-3</v>
      </c>
    </row>
    <row r="101" spans="3:11">
      <c r="C101" s="2">
        <v>7</v>
      </c>
      <c r="D101" s="2">
        <v>4</v>
      </c>
      <c r="E101" s="46">
        <v>0.1535</v>
      </c>
      <c r="F101" s="13">
        <f t="shared" si="15"/>
        <v>0.61399999999999999</v>
      </c>
      <c r="G101" s="13">
        <v>7</v>
      </c>
      <c r="H101" s="46">
        <f t="shared" si="16"/>
        <v>4.298</v>
      </c>
      <c r="I101" s="13">
        <f t="shared" si="17"/>
        <v>30.085999999999999</v>
      </c>
      <c r="J101" s="50">
        <f t="shared" si="18"/>
        <v>2.356225E-2</v>
      </c>
      <c r="K101" s="49">
        <f t="shared" si="19"/>
        <v>1.44672215E-2</v>
      </c>
    </row>
    <row r="102" spans="3:11">
      <c r="C102" s="2">
        <v>8</v>
      </c>
      <c r="D102" s="2">
        <v>2</v>
      </c>
      <c r="E102" s="46">
        <v>0.14849999999999999</v>
      </c>
      <c r="F102" s="13">
        <f t="shared" si="15"/>
        <v>0.29699999999999999</v>
      </c>
      <c r="G102" s="13">
        <v>8</v>
      </c>
      <c r="H102" s="46">
        <f t="shared" si="16"/>
        <v>2.3759999999999999</v>
      </c>
      <c r="I102" s="13">
        <f t="shared" si="17"/>
        <v>19.007999999999999</v>
      </c>
      <c r="J102" s="50">
        <f t="shared" si="18"/>
        <v>2.2052249999999999E-2</v>
      </c>
      <c r="K102" s="49">
        <f t="shared" si="19"/>
        <v>6.5495182499999997E-3</v>
      </c>
    </row>
    <row r="103" spans="3:11">
      <c r="C103" s="2">
        <v>9</v>
      </c>
      <c r="D103" s="2">
        <v>4</v>
      </c>
      <c r="E103" s="46">
        <v>0.14299999999999999</v>
      </c>
      <c r="F103" s="13">
        <f t="shared" si="15"/>
        <v>0.57199999999999995</v>
      </c>
      <c r="G103" s="13">
        <v>9</v>
      </c>
      <c r="H103" s="46">
        <f t="shared" si="16"/>
        <v>5.1479999999999997</v>
      </c>
      <c r="I103" s="13">
        <f t="shared" si="17"/>
        <v>46.331999999999994</v>
      </c>
      <c r="J103" s="50">
        <f t="shared" si="18"/>
        <v>2.0448999999999995E-2</v>
      </c>
      <c r="K103" s="49">
        <f t="shared" si="19"/>
        <v>1.1696827999999996E-2</v>
      </c>
    </row>
    <row r="104" spans="3:11">
      <c r="C104" s="11">
        <v>10</v>
      </c>
      <c r="D104" s="11">
        <v>1</v>
      </c>
      <c r="E104" s="47">
        <v>0.13900000000000001</v>
      </c>
      <c r="F104" s="55">
        <f t="shared" si="15"/>
        <v>0.13900000000000001</v>
      </c>
      <c r="G104" s="55">
        <v>10</v>
      </c>
      <c r="H104" s="47">
        <f t="shared" si="16"/>
        <v>1.3900000000000001</v>
      </c>
      <c r="I104" s="55">
        <f t="shared" si="17"/>
        <v>13.900000000000002</v>
      </c>
      <c r="J104" s="59">
        <f t="shared" si="18"/>
        <v>1.9321000000000005E-2</v>
      </c>
      <c r="K104" s="56">
        <f t="shared" si="19"/>
        <v>2.6856190000000011E-3</v>
      </c>
    </row>
    <row r="105" spans="3:11">
      <c r="C105" s="2"/>
      <c r="D105" s="2"/>
      <c r="E105" s="2"/>
      <c r="F105" s="13">
        <f>SUM(F94:F104)</f>
        <v>3.5571000000000002</v>
      </c>
      <c r="G105" s="2"/>
      <c r="H105" s="13">
        <f>SUM(H94:H104)</f>
        <v>21.037999999999997</v>
      </c>
      <c r="I105" s="13">
        <f>SUM(I94:I104)</f>
        <v>145.14079999999998</v>
      </c>
      <c r="J105" s="2"/>
      <c r="K105" s="49">
        <f>SUM(K94:K104)</f>
        <v>6.9596607009E-2</v>
      </c>
    </row>
    <row r="109" spans="3:11" ht="15.6">
      <c r="C109" t="s">
        <v>32</v>
      </c>
      <c r="E109" s="19"/>
      <c r="H109">
        <f>(2/3*100*F105)/1000</f>
        <v>0.23713999999999999</v>
      </c>
      <c r="J109" t="s">
        <v>38</v>
      </c>
      <c r="K109">
        <f>H113/'Part-1'!G93</f>
        <v>1.2732626712107766</v>
      </c>
    </row>
    <row r="110" spans="3:11">
      <c r="C110" t="s">
        <v>33</v>
      </c>
      <c r="H110">
        <f>(2/3*100*100*H105)/1000000</f>
        <v>0.14025333333333329</v>
      </c>
      <c r="J110" t="s">
        <v>39</v>
      </c>
      <c r="K110">
        <f>(('Part-1'!J93*'Part-2'!K109)/(100*1017))*1000</f>
        <v>1.3918174070424308E-4</v>
      </c>
    </row>
    <row r="111" spans="3:11" ht="15.6">
      <c r="C111" t="s">
        <v>34</v>
      </c>
      <c r="H111">
        <f>(100*(H105/F105))/1000</f>
        <v>0.59143684462061785</v>
      </c>
      <c r="J111" t="s">
        <v>40</v>
      </c>
      <c r="K111">
        <f>H114/'Part-1'!G93</f>
        <v>0.14259825436327644</v>
      </c>
    </row>
    <row r="112" spans="3:11">
      <c r="C112" t="s">
        <v>35</v>
      </c>
      <c r="H112">
        <f>(2/3*100*100*100*I105)/1000000000</f>
        <v>9.6760533333333315E-2</v>
      </c>
      <c r="J112" t="s">
        <v>41</v>
      </c>
      <c r="K112">
        <f>(H109*1.025)/100</f>
        <v>2.4306849999999997E-3</v>
      </c>
    </row>
    <row r="113" spans="3:11" ht="15.6">
      <c r="C113" t="s">
        <v>36</v>
      </c>
      <c r="H113">
        <f>H112-H109*(H111^2)</f>
        <v>1.380954441914295E-2</v>
      </c>
      <c r="J113" t="s">
        <v>42</v>
      </c>
      <c r="K113">
        <f>(H109/(1017*305.91))*1000000</f>
        <v>0.76223728503897659</v>
      </c>
    </row>
    <row r="114" spans="3:11">
      <c r="C114" t="s">
        <v>37</v>
      </c>
      <c r="H114">
        <f>(2/9*100*K105)/1000</f>
        <v>1.5465912668666665E-3</v>
      </c>
    </row>
    <row r="118" spans="3:11" ht="15" thickBot="1"/>
    <row r="119" spans="3:11" ht="15" thickBot="1">
      <c r="F119" s="67" t="s">
        <v>70</v>
      </c>
      <c r="G119" s="68"/>
      <c r="I119" s="16"/>
      <c r="J119" s="16"/>
    </row>
    <row r="120" spans="3:11">
      <c r="I120" s="16"/>
    </row>
    <row r="121" spans="3:11" ht="15.6">
      <c r="C121" s="17" t="s">
        <v>23</v>
      </c>
      <c r="D121" s="17" t="s">
        <v>24</v>
      </c>
      <c r="E121" s="17" t="s">
        <v>25</v>
      </c>
      <c r="F121" s="17" t="s">
        <v>26</v>
      </c>
      <c r="G121" s="17" t="s">
        <v>27</v>
      </c>
      <c r="H121" s="17" t="s">
        <v>28</v>
      </c>
      <c r="I121" s="18" t="s">
        <v>29</v>
      </c>
      <c r="J121" s="17" t="s">
        <v>30</v>
      </c>
      <c r="K121" s="17" t="s">
        <v>31</v>
      </c>
    </row>
    <row r="122" spans="3:11">
      <c r="C122" s="2">
        <v>0</v>
      </c>
      <c r="D122" s="2">
        <v>1</v>
      </c>
      <c r="E122" s="46">
        <v>1.4500000000000001E-2</v>
      </c>
      <c r="F122" s="13">
        <f>E122*D122</f>
        <v>1.4500000000000001E-2</v>
      </c>
      <c r="G122" s="13">
        <v>0</v>
      </c>
      <c r="H122" s="46">
        <f>F122*G122</f>
        <v>0</v>
      </c>
      <c r="I122" s="13">
        <f>H122*G122</f>
        <v>0</v>
      </c>
      <c r="J122" s="50">
        <f>E122*E122</f>
        <v>2.1025000000000001E-4</v>
      </c>
      <c r="K122" s="49">
        <f>J122*F122</f>
        <v>3.0486250000000004E-6</v>
      </c>
    </row>
    <row r="123" spans="3:11">
      <c r="C123" s="2">
        <v>1</v>
      </c>
      <c r="D123" s="2">
        <v>4</v>
      </c>
      <c r="E123" s="46">
        <v>5.8599999999999999E-2</v>
      </c>
      <c r="F123" s="13">
        <f t="shared" ref="F123:F132" si="20">E123*D123</f>
        <v>0.2344</v>
      </c>
      <c r="G123" s="13">
        <v>1</v>
      </c>
      <c r="H123" s="46">
        <f t="shared" ref="H123:H132" si="21">F123*G123</f>
        <v>0.2344</v>
      </c>
      <c r="I123" s="13">
        <f t="shared" ref="I123:I132" si="22">H123*G123</f>
        <v>0.2344</v>
      </c>
      <c r="J123" s="50">
        <f t="shared" ref="J123:J132" si="23">E123*E123</f>
        <v>3.4339599999999998E-3</v>
      </c>
      <c r="K123" s="49">
        <f t="shared" ref="K123:K132" si="24">J123*F123</f>
        <v>8.0492022399999996E-4</v>
      </c>
    </row>
    <row r="124" spans="3:11">
      <c r="C124" s="2">
        <v>2</v>
      </c>
      <c r="D124" s="2">
        <v>2</v>
      </c>
      <c r="E124" s="46">
        <v>0.1115</v>
      </c>
      <c r="F124" s="13">
        <f t="shared" si="20"/>
        <v>0.223</v>
      </c>
      <c r="G124" s="13">
        <v>2</v>
      </c>
      <c r="H124" s="46">
        <f t="shared" si="21"/>
        <v>0.44600000000000001</v>
      </c>
      <c r="I124" s="13">
        <f t="shared" si="22"/>
        <v>0.89200000000000002</v>
      </c>
      <c r="J124" s="50">
        <f t="shared" si="23"/>
        <v>1.2432250000000001E-2</v>
      </c>
      <c r="K124" s="49">
        <f t="shared" si="24"/>
        <v>2.7723917500000004E-3</v>
      </c>
    </row>
    <row r="125" spans="3:11">
      <c r="C125" s="2">
        <v>3</v>
      </c>
      <c r="D125" s="2">
        <v>4</v>
      </c>
      <c r="E125" s="46">
        <v>0.13400000000000001</v>
      </c>
      <c r="F125" s="13">
        <f t="shared" si="20"/>
        <v>0.53600000000000003</v>
      </c>
      <c r="G125" s="13">
        <v>3</v>
      </c>
      <c r="H125" s="46">
        <f t="shared" si="21"/>
        <v>1.6080000000000001</v>
      </c>
      <c r="I125" s="13">
        <f t="shared" si="22"/>
        <v>4.8239999999999998</v>
      </c>
      <c r="J125" s="50">
        <f t="shared" si="23"/>
        <v>1.7956000000000003E-2</v>
      </c>
      <c r="K125" s="49">
        <f t="shared" si="24"/>
        <v>9.624416000000002E-3</v>
      </c>
    </row>
    <row r="126" spans="3:11">
      <c r="C126" s="2">
        <v>4</v>
      </c>
      <c r="D126" s="2">
        <v>2</v>
      </c>
      <c r="E126" s="46">
        <v>0.14799999999999999</v>
      </c>
      <c r="F126" s="13">
        <f t="shared" si="20"/>
        <v>0.29599999999999999</v>
      </c>
      <c r="G126" s="13">
        <v>4</v>
      </c>
      <c r="H126" s="46">
        <f t="shared" si="21"/>
        <v>1.1839999999999999</v>
      </c>
      <c r="I126" s="13">
        <f t="shared" si="22"/>
        <v>4.7359999999999998</v>
      </c>
      <c r="J126" s="50">
        <f t="shared" si="23"/>
        <v>2.1903999999999996E-2</v>
      </c>
      <c r="K126" s="49">
        <f t="shared" si="24"/>
        <v>6.4835839999999988E-3</v>
      </c>
    </row>
    <row r="127" spans="3:11">
      <c r="C127" s="2">
        <v>5</v>
      </c>
      <c r="D127" s="2">
        <v>4</v>
      </c>
      <c r="E127" s="46">
        <v>0.155</v>
      </c>
      <c r="F127" s="13">
        <f t="shared" si="20"/>
        <v>0.62</v>
      </c>
      <c r="G127" s="13">
        <v>5</v>
      </c>
      <c r="H127" s="46">
        <f t="shared" si="21"/>
        <v>3.1</v>
      </c>
      <c r="I127" s="13">
        <f t="shared" si="22"/>
        <v>15.5</v>
      </c>
      <c r="J127" s="50">
        <f t="shared" si="23"/>
        <v>2.4025000000000001E-2</v>
      </c>
      <c r="K127" s="49">
        <f t="shared" si="24"/>
        <v>1.4895500000000001E-2</v>
      </c>
    </row>
    <row r="128" spans="3:11">
      <c r="C128" s="2">
        <v>6</v>
      </c>
      <c r="D128" s="2">
        <v>2</v>
      </c>
      <c r="E128" s="46">
        <v>0.158</v>
      </c>
      <c r="F128" s="13">
        <f t="shared" si="20"/>
        <v>0.316</v>
      </c>
      <c r="G128" s="13">
        <v>6</v>
      </c>
      <c r="H128" s="46">
        <f t="shared" si="21"/>
        <v>1.8959999999999999</v>
      </c>
      <c r="I128" s="13">
        <f t="shared" si="22"/>
        <v>11.375999999999999</v>
      </c>
      <c r="J128" s="50">
        <f t="shared" si="23"/>
        <v>2.4964E-2</v>
      </c>
      <c r="K128" s="49">
        <f t="shared" si="24"/>
        <v>7.8886240000000003E-3</v>
      </c>
    </row>
    <row r="129" spans="3:11">
      <c r="C129" s="2">
        <v>7</v>
      </c>
      <c r="D129" s="2">
        <v>4</v>
      </c>
      <c r="E129" s="46">
        <v>0.1555</v>
      </c>
      <c r="F129" s="13">
        <f t="shared" si="20"/>
        <v>0.622</v>
      </c>
      <c r="G129" s="13">
        <v>7</v>
      </c>
      <c r="H129" s="46">
        <f t="shared" si="21"/>
        <v>4.3540000000000001</v>
      </c>
      <c r="I129" s="13">
        <f t="shared" si="22"/>
        <v>30.478000000000002</v>
      </c>
      <c r="J129" s="50">
        <f t="shared" si="23"/>
        <v>2.418025E-2</v>
      </c>
      <c r="K129" s="49">
        <f t="shared" si="24"/>
        <v>1.5040115499999999E-2</v>
      </c>
    </row>
    <row r="130" spans="3:11">
      <c r="C130" s="2">
        <v>8</v>
      </c>
      <c r="D130" s="2">
        <v>2</v>
      </c>
      <c r="E130" s="46">
        <v>0.1515</v>
      </c>
      <c r="F130" s="13">
        <f t="shared" si="20"/>
        <v>0.30299999999999999</v>
      </c>
      <c r="G130" s="13">
        <v>8</v>
      </c>
      <c r="H130" s="46">
        <f t="shared" si="21"/>
        <v>2.4239999999999999</v>
      </c>
      <c r="I130" s="13">
        <f t="shared" si="22"/>
        <v>19.391999999999999</v>
      </c>
      <c r="J130" s="50">
        <f t="shared" si="23"/>
        <v>2.295225E-2</v>
      </c>
      <c r="K130" s="49">
        <f t="shared" si="24"/>
        <v>6.9545317499999995E-3</v>
      </c>
    </row>
    <row r="131" spans="3:11">
      <c r="C131" s="2">
        <v>9</v>
      </c>
      <c r="D131" s="2">
        <v>4</v>
      </c>
      <c r="E131" s="46">
        <v>0.14649999999999999</v>
      </c>
      <c r="F131" s="13">
        <f t="shared" si="20"/>
        <v>0.58599999999999997</v>
      </c>
      <c r="G131" s="13">
        <v>9</v>
      </c>
      <c r="H131" s="46">
        <f t="shared" si="21"/>
        <v>5.274</v>
      </c>
      <c r="I131" s="13">
        <f t="shared" si="22"/>
        <v>47.466000000000001</v>
      </c>
      <c r="J131" s="50">
        <f t="shared" si="23"/>
        <v>2.1462249999999999E-2</v>
      </c>
      <c r="K131" s="49">
        <f t="shared" si="24"/>
        <v>1.2576878499999998E-2</v>
      </c>
    </row>
    <row r="132" spans="3:11">
      <c r="C132" s="11">
        <v>10</v>
      </c>
      <c r="D132" s="11">
        <v>1</v>
      </c>
      <c r="E132" s="47">
        <v>0.14349999999999999</v>
      </c>
      <c r="F132" s="55">
        <f t="shared" si="20"/>
        <v>0.14349999999999999</v>
      </c>
      <c r="G132" s="55">
        <v>10</v>
      </c>
      <c r="H132" s="47">
        <f t="shared" si="21"/>
        <v>1.4349999999999998</v>
      </c>
      <c r="I132" s="55">
        <f t="shared" si="22"/>
        <v>14.349999999999998</v>
      </c>
      <c r="J132" s="59">
        <f t="shared" si="23"/>
        <v>2.0592249999999996E-2</v>
      </c>
      <c r="K132" s="56">
        <f t="shared" si="24"/>
        <v>2.9549878749999992E-3</v>
      </c>
    </row>
    <row r="133" spans="3:11">
      <c r="C133" s="2"/>
      <c r="D133" s="2"/>
      <c r="E133" s="2"/>
      <c r="F133" s="13">
        <f>SUM(F122:F132)</f>
        <v>3.8943999999999996</v>
      </c>
      <c r="G133" s="2"/>
      <c r="H133" s="13">
        <f>SUM(H122:H132)</f>
        <v>21.955399999999997</v>
      </c>
      <c r="I133" s="13">
        <f>SUM(I122:I132)</f>
        <v>149.2484</v>
      </c>
      <c r="J133" s="2"/>
      <c r="K133" s="49">
        <f>SUM(K122:K132)</f>
        <v>7.9998998224000001E-2</v>
      </c>
    </row>
    <row r="137" spans="3:11" ht="15.6">
      <c r="C137" t="s">
        <v>32</v>
      </c>
      <c r="E137" s="19"/>
      <c r="H137">
        <f>(2/3*100*F133)/1000</f>
        <v>0.25962666666666662</v>
      </c>
      <c r="J137" t="s">
        <v>38</v>
      </c>
      <c r="K137">
        <f>H141/'Part-1'!G116</f>
        <v>0.99320926775217178</v>
      </c>
    </row>
    <row r="138" spans="3:11">
      <c r="C138" t="s">
        <v>33</v>
      </c>
      <c r="H138">
        <f>(2/3*100*100*H133)/1000000</f>
        <v>0.14636933333333332</v>
      </c>
      <c r="J138" t="s">
        <v>39</v>
      </c>
      <c r="K138">
        <f>(('Part-1'!J116*'Part-2'!K137)/(100*1040))*1000</f>
        <v>1.6735604295549947E-4</v>
      </c>
    </row>
    <row r="139" spans="3:11" ht="15.6">
      <c r="C139" t="s">
        <v>34</v>
      </c>
      <c r="H139">
        <f>(100*(H133/F133))/1000</f>
        <v>0.5637684880854561</v>
      </c>
      <c r="J139" t="s">
        <v>40</v>
      </c>
      <c r="K139">
        <f>H142/'Part-1'!G116</f>
        <v>0.10398290006415187</v>
      </c>
    </row>
    <row r="140" spans="3:11">
      <c r="C140" t="s">
        <v>35</v>
      </c>
      <c r="H140">
        <f>(2/3*100*100*100*I133)/1000000000</f>
        <v>9.9498933333333331E-2</v>
      </c>
      <c r="J140" t="s">
        <v>41</v>
      </c>
      <c r="K140">
        <f>(H137*1.025)/100</f>
        <v>2.6611733333333325E-3</v>
      </c>
    </row>
    <row r="141" spans="3:11" ht="15.6">
      <c r="C141" t="s">
        <v>36</v>
      </c>
      <c r="H141">
        <f>H140-H137*(H139^2)</f>
        <v>1.6980515577923849E-2</v>
      </c>
      <c r="J141" t="s">
        <v>42</v>
      </c>
      <c r="K141">
        <f>(H137/(1040*312.92))*1000000</f>
        <v>0.7977790669852538</v>
      </c>
    </row>
    <row r="142" spans="3:11">
      <c r="C142" t="s">
        <v>37</v>
      </c>
      <c r="H142">
        <f>(2/9*100*K133)/1000</f>
        <v>1.7777555160888889E-3</v>
      </c>
    </row>
    <row r="146" spans="3:11" ht="15" thickBot="1"/>
    <row r="147" spans="3:11" ht="15" thickBot="1">
      <c r="F147" s="67" t="s">
        <v>71</v>
      </c>
      <c r="G147" s="68"/>
      <c r="I147" s="16"/>
      <c r="J147" s="16"/>
    </row>
    <row r="148" spans="3:11">
      <c r="I148" s="16"/>
    </row>
    <row r="149" spans="3:11" ht="15.6">
      <c r="C149" s="17" t="s">
        <v>23</v>
      </c>
      <c r="D149" s="17" t="s">
        <v>24</v>
      </c>
      <c r="E149" s="17" t="s">
        <v>25</v>
      </c>
      <c r="F149" s="17" t="s">
        <v>26</v>
      </c>
      <c r="G149" s="17" t="s">
        <v>27</v>
      </c>
      <c r="H149" s="17" t="s">
        <v>28</v>
      </c>
      <c r="I149" s="18" t="s">
        <v>29</v>
      </c>
      <c r="J149" s="17" t="s">
        <v>30</v>
      </c>
      <c r="K149" s="17" t="s">
        <v>31</v>
      </c>
    </row>
    <row r="150" spans="3:11">
      <c r="C150" s="2">
        <v>0</v>
      </c>
      <c r="D150" s="2">
        <v>1</v>
      </c>
      <c r="E150" s="46">
        <v>3.0499999999999999E-2</v>
      </c>
      <c r="F150" s="13">
        <f>E150*D150</f>
        <v>3.0499999999999999E-2</v>
      </c>
      <c r="G150" s="13">
        <v>0</v>
      </c>
      <c r="H150" s="46">
        <f>F150*G150</f>
        <v>0</v>
      </c>
      <c r="I150" s="13">
        <f>H150*G150</f>
        <v>0</v>
      </c>
      <c r="J150" s="50">
        <f>E150*E150</f>
        <v>9.3024999999999998E-4</v>
      </c>
      <c r="K150" s="49">
        <f>J150*F150</f>
        <v>2.8372624999999998E-5</v>
      </c>
    </row>
    <row r="151" spans="3:11">
      <c r="C151" s="2">
        <v>1</v>
      </c>
      <c r="D151" s="2">
        <v>4</v>
      </c>
      <c r="E151" s="46">
        <v>8.6499999999999994E-2</v>
      </c>
      <c r="F151" s="13">
        <f t="shared" ref="F151:F160" si="25">E151*D151</f>
        <v>0.34599999999999997</v>
      </c>
      <c r="G151" s="13">
        <v>1</v>
      </c>
      <c r="H151" s="46">
        <f t="shared" ref="H151:H160" si="26">F151*G151</f>
        <v>0.34599999999999997</v>
      </c>
      <c r="I151" s="13">
        <f t="shared" ref="I151:I160" si="27">H151*G151</f>
        <v>0.34599999999999997</v>
      </c>
      <c r="J151" s="50">
        <f t="shared" ref="J151:J160" si="28">E151*E151</f>
        <v>7.4822499999999993E-3</v>
      </c>
      <c r="K151" s="49">
        <f t="shared" ref="K151:K160" si="29">J151*F151</f>
        <v>2.5888584999999996E-3</v>
      </c>
    </row>
    <row r="152" spans="3:11">
      <c r="C152" s="2">
        <v>2</v>
      </c>
      <c r="D152" s="2">
        <v>2</v>
      </c>
      <c r="E152" s="46">
        <v>0.11899999999999999</v>
      </c>
      <c r="F152" s="13">
        <f t="shared" si="25"/>
        <v>0.23799999999999999</v>
      </c>
      <c r="G152" s="13">
        <v>2</v>
      </c>
      <c r="H152" s="46">
        <f t="shared" si="26"/>
        <v>0.47599999999999998</v>
      </c>
      <c r="I152" s="13">
        <f t="shared" si="27"/>
        <v>0.95199999999999996</v>
      </c>
      <c r="J152" s="50">
        <f t="shared" si="28"/>
        <v>1.4160999999999998E-2</v>
      </c>
      <c r="K152" s="49">
        <f t="shared" si="29"/>
        <v>3.3703179999999993E-3</v>
      </c>
    </row>
    <row r="153" spans="3:11">
      <c r="C153" s="2">
        <v>3</v>
      </c>
      <c r="D153" s="2">
        <v>4</v>
      </c>
      <c r="E153" s="46">
        <v>0.14099999999999999</v>
      </c>
      <c r="F153" s="13">
        <f t="shared" si="25"/>
        <v>0.56399999999999995</v>
      </c>
      <c r="G153" s="13">
        <v>3</v>
      </c>
      <c r="H153" s="46">
        <f t="shared" si="26"/>
        <v>1.6919999999999997</v>
      </c>
      <c r="I153" s="13">
        <f t="shared" si="27"/>
        <v>5.0759999999999987</v>
      </c>
      <c r="J153" s="50">
        <f t="shared" si="28"/>
        <v>1.9880999999999996E-2</v>
      </c>
      <c r="K153" s="49">
        <f t="shared" si="29"/>
        <v>1.1212883999999996E-2</v>
      </c>
    </row>
    <row r="154" spans="3:11">
      <c r="C154" s="2">
        <v>4</v>
      </c>
      <c r="D154" s="2">
        <v>2</v>
      </c>
      <c r="E154" s="46">
        <v>0.153</v>
      </c>
      <c r="F154" s="13">
        <f t="shared" si="25"/>
        <v>0.30599999999999999</v>
      </c>
      <c r="G154" s="13">
        <v>4</v>
      </c>
      <c r="H154" s="46">
        <f t="shared" si="26"/>
        <v>1.224</v>
      </c>
      <c r="I154" s="13">
        <f t="shared" si="27"/>
        <v>4.8959999999999999</v>
      </c>
      <c r="J154" s="50">
        <f t="shared" si="28"/>
        <v>2.3408999999999999E-2</v>
      </c>
      <c r="K154" s="49">
        <f t="shared" si="29"/>
        <v>7.1631539999999997E-3</v>
      </c>
    </row>
    <row r="155" spans="3:11">
      <c r="C155" s="2">
        <v>5</v>
      </c>
      <c r="D155" s="2">
        <v>4</v>
      </c>
      <c r="E155" s="46">
        <v>0.1595</v>
      </c>
      <c r="F155" s="13">
        <f t="shared" si="25"/>
        <v>0.63800000000000001</v>
      </c>
      <c r="G155" s="13">
        <v>5</v>
      </c>
      <c r="H155" s="46">
        <f t="shared" si="26"/>
        <v>3.19</v>
      </c>
      <c r="I155" s="13">
        <f t="shared" si="27"/>
        <v>15.95</v>
      </c>
      <c r="J155" s="50">
        <f t="shared" si="28"/>
        <v>2.5440250000000001E-2</v>
      </c>
      <c r="K155" s="49">
        <f t="shared" si="29"/>
        <v>1.62308795E-2</v>
      </c>
    </row>
    <row r="156" spans="3:11">
      <c r="C156" s="2">
        <v>6</v>
      </c>
      <c r="D156" s="2">
        <v>2</v>
      </c>
      <c r="E156" s="46">
        <v>0.161</v>
      </c>
      <c r="F156" s="13">
        <f t="shared" si="25"/>
        <v>0.32200000000000001</v>
      </c>
      <c r="G156" s="13">
        <v>6</v>
      </c>
      <c r="H156" s="46">
        <f t="shared" si="26"/>
        <v>1.9319999999999999</v>
      </c>
      <c r="I156" s="13">
        <f t="shared" si="27"/>
        <v>11.591999999999999</v>
      </c>
      <c r="J156" s="50">
        <f t="shared" si="28"/>
        <v>2.5921000000000003E-2</v>
      </c>
      <c r="K156" s="49">
        <f t="shared" si="29"/>
        <v>8.3465620000000018E-3</v>
      </c>
    </row>
    <row r="157" spans="3:11">
      <c r="C157" s="2">
        <v>7</v>
      </c>
      <c r="D157" s="2">
        <v>4</v>
      </c>
      <c r="E157" s="46">
        <v>0.1585</v>
      </c>
      <c r="F157" s="13">
        <f t="shared" si="25"/>
        <v>0.63400000000000001</v>
      </c>
      <c r="G157" s="13">
        <v>7</v>
      </c>
      <c r="H157" s="46">
        <f t="shared" si="26"/>
        <v>4.4379999999999997</v>
      </c>
      <c r="I157" s="13">
        <f t="shared" si="27"/>
        <v>31.065999999999999</v>
      </c>
      <c r="J157" s="50">
        <f t="shared" si="28"/>
        <v>2.5122250000000002E-2</v>
      </c>
      <c r="K157" s="49">
        <f t="shared" si="29"/>
        <v>1.5927506500000001E-2</v>
      </c>
    </row>
    <row r="158" spans="3:11">
      <c r="C158" s="2">
        <v>8</v>
      </c>
      <c r="D158" s="2">
        <v>2</v>
      </c>
      <c r="E158" s="46">
        <v>0.1545</v>
      </c>
      <c r="F158" s="13">
        <f t="shared" si="25"/>
        <v>0.309</v>
      </c>
      <c r="G158" s="13">
        <v>8</v>
      </c>
      <c r="H158" s="46">
        <f t="shared" si="26"/>
        <v>2.472</v>
      </c>
      <c r="I158" s="13">
        <f t="shared" si="27"/>
        <v>19.776</v>
      </c>
      <c r="J158" s="50">
        <f t="shared" si="28"/>
        <v>2.3870249999999999E-2</v>
      </c>
      <c r="K158" s="49">
        <f t="shared" si="29"/>
        <v>7.37590725E-3</v>
      </c>
    </row>
    <row r="159" spans="3:11">
      <c r="C159" s="2">
        <v>9</v>
      </c>
      <c r="D159" s="2">
        <v>4</v>
      </c>
      <c r="E159" s="46">
        <v>0.14949999999999999</v>
      </c>
      <c r="F159" s="13">
        <f t="shared" si="25"/>
        <v>0.59799999999999998</v>
      </c>
      <c r="G159" s="13">
        <v>9</v>
      </c>
      <c r="H159" s="46">
        <f t="shared" si="26"/>
        <v>5.3819999999999997</v>
      </c>
      <c r="I159" s="13">
        <f t="shared" si="27"/>
        <v>48.437999999999995</v>
      </c>
      <c r="J159" s="50">
        <f t="shared" si="28"/>
        <v>2.2350249999999999E-2</v>
      </c>
      <c r="K159" s="49">
        <f t="shared" si="29"/>
        <v>1.3365449499999999E-2</v>
      </c>
    </row>
    <row r="160" spans="3:11">
      <c r="C160" s="11">
        <v>10</v>
      </c>
      <c r="D160" s="11">
        <v>1</v>
      </c>
      <c r="E160" s="47">
        <v>0.14549999999999999</v>
      </c>
      <c r="F160" s="55">
        <f t="shared" si="25"/>
        <v>0.14549999999999999</v>
      </c>
      <c r="G160" s="55">
        <v>10</v>
      </c>
      <c r="H160" s="47">
        <f t="shared" si="26"/>
        <v>1.4549999999999998</v>
      </c>
      <c r="I160" s="55">
        <f t="shared" si="27"/>
        <v>14.549999999999999</v>
      </c>
      <c r="J160" s="59">
        <f t="shared" si="28"/>
        <v>2.1170249999999998E-2</v>
      </c>
      <c r="K160" s="56">
        <f t="shared" si="29"/>
        <v>3.0802713749999997E-3</v>
      </c>
    </row>
    <row r="161" spans="3:11">
      <c r="C161" s="2"/>
      <c r="D161" s="2"/>
      <c r="E161" s="2"/>
      <c r="F161" s="13">
        <f>SUM(F150:F160)</f>
        <v>4.1310000000000002</v>
      </c>
      <c r="G161" s="2"/>
      <c r="H161" s="13">
        <f>SUM(H150:H160)</f>
        <v>22.606999999999996</v>
      </c>
      <c r="I161" s="13">
        <f>SUM(I150:I160)</f>
        <v>152.642</v>
      </c>
      <c r="J161" s="2"/>
      <c r="K161" s="49">
        <f>SUM(K150:K160)</f>
        <v>8.8690163249999981E-2</v>
      </c>
    </row>
    <row r="165" spans="3:11" ht="15.6">
      <c r="C165" t="s">
        <v>32</v>
      </c>
      <c r="E165" s="19"/>
      <c r="H165">
        <f>(2/3*100*F161)/1000</f>
        <v>0.27539999999999998</v>
      </c>
      <c r="J165" t="s">
        <v>38</v>
      </c>
      <c r="K165">
        <f>H169/'Part-1'!G140</f>
        <v>0.80762809936275692</v>
      </c>
    </row>
    <row r="166" spans="3:11">
      <c r="C166" t="s">
        <v>33</v>
      </c>
      <c r="H166">
        <f>(2/3*100*100*H161)/1000000</f>
        <v>0.15071333333333328</v>
      </c>
      <c r="J166" t="s">
        <v>39</v>
      </c>
      <c r="K166">
        <f>(('Part-1'!J140*'Part-2'!K165)/(100*1061.5))*1000</f>
        <v>1.8620032881370337E-4</v>
      </c>
    </row>
    <row r="167" spans="3:11" ht="15.6">
      <c r="C167" t="s">
        <v>34</v>
      </c>
      <c r="H167">
        <f>(100*(H161/F161))/1000</f>
        <v>0.54725248123940928</v>
      </c>
      <c r="J167" t="s">
        <v>40</v>
      </c>
      <c r="K167">
        <f>H170/'Part-1'!G140</f>
        <v>8.254633288795904E-2</v>
      </c>
    </row>
    <row r="168" spans="3:11">
      <c r="C168" t="s">
        <v>35</v>
      </c>
      <c r="H168">
        <f>(2/3*100*100*100*I161)/1000000000</f>
        <v>0.10176133333333333</v>
      </c>
      <c r="J168" t="s">
        <v>41</v>
      </c>
      <c r="K168">
        <f>(H165*1.025)/100</f>
        <v>2.8228499999999996E-3</v>
      </c>
    </row>
    <row r="169" spans="3:11" ht="15.6">
      <c r="C169" t="s">
        <v>36</v>
      </c>
      <c r="H169" s="20">
        <f>H168-H165*(H167^2)</f>
        <v>1.9283087710804503E-2</v>
      </c>
      <c r="J169" t="s">
        <v>42</v>
      </c>
      <c r="K169">
        <f>(H165/(1061.5*319.92))*1000000</f>
        <v>0.81096581257891009</v>
      </c>
    </row>
    <row r="170" spans="3:11">
      <c r="C170" t="s">
        <v>37</v>
      </c>
      <c r="H170">
        <f>(2/9*100*K161)/1000</f>
        <v>1.9708925166666662E-3</v>
      </c>
    </row>
    <row r="174" spans="3:11" ht="15" thickBot="1"/>
    <row r="175" spans="3:11" ht="15" thickBot="1">
      <c r="F175" s="67" t="s">
        <v>72</v>
      </c>
      <c r="G175" s="68"/>
      <c r="I175" s="16"/>
      <c r="J175" s="16"/>
    </row>
    <row r="176" spans="3:11">
      <c r="I176" s="16"/>
    </row>
    <row r="177" spans="3:11" ht="15.6">
      <c r="C177" s="17" t="s">
        <v>23</v>
      </c>
      <c r="D177" s="17" t="s">
        <v>24</v>
      </c>
      <c r="E177" s="17" t="s">
        <v>25</v>
      </c>
      <c r="F177" s="17" t="s">
        <v>26</v>
      </c>
      <c r="G177" s="17" t="s">
        <v>27</v>
      </c>
      <c r="H177" s="17" t="s">
        <v>28</v>
      </c>
      <c r="I177" s="18" t="s">
        <v>29</v>
      </c>
      <c r="J177" s="17" t="s">
        <v>30</v>
      </c>
      <c r="K177" s="17" t="s">
        <v>31</v>
      </c>
    </row>
    <row r="178" spans="3:11">
      <c r="C178" s="2">
        <v>0</v>
      </c>
      <c r="D178" s="2">
        <v>1</v>
      </c>
      <c r="E178" s="46">
        <v>0.05</v>
      </c>
      <c r="F178" s="13">
        <f>E178*D178</f>
        <v>0.05</v>
      </c>
      <c r="G178" s="13">
        <v>0</v>
      </c>
      <c r="H178" s="46">
        <f>F178*G178</f>
        <v>0</v>
      </c>
      <c r="I178" s="13">
        <f>H178*G178</f>
        <v>0</v>
      </c>
      <c r="J178" s="50">
        <f>E178*E178</f>
        <v>2.5000000000000005E-3</v>
      </c>
      <c r="K178" s="49">
        <f>J178*F178</f>
        <v>1.2500000000000003E-4</v>
      </c>
    </row>
    <row r="179" spans="3:11">
      <c r="C179" s="2">
        <v>1</v>
      </c>
      <c r="D179" s="2">
        <v>4</v>
      </c>
      <c r="E179" s="46">
        <v>9.8000000000000004E-2</v>
      </c>
      <c r="F179" s="13">
        <f t="shared" ref="F179:F188" si="30">E179*D179</f>
        <v>0.39200000000000002</v>
      </c>
      <c r="G179" s="13">
        <v>1</v>
      </c>
      <c r="H179" s="46">
        <f t="shared" ref="H179:H188" si="31">F179*G179</f>
        <v>0.39200000000000002</v>
      </c>
      <c r="I179" s="13">
        <f t="shared" ref="I179:I188" si="32">H179*G179</f>
        <v>0.39200000000000002</v>
      </c>
      <c r="J179" s="50">
        <f t="shared" ref="J179:J188" si="33">E179*E179</f>
        <v>9.6040000000000014E-3</v>
      </c>
      <c r="K179" s="49">
        <f t="shared" ref="K179:K188" si="34">J179*F179</f>
        <v>3.7647680000000008E-3</v>
      </c>
    </row>
    <row r="180" spans="3:11">
      <c r="C180" s="2">
        <v>2</v>
      </c>
      <c r="D180" s="2">
        <v>2</v>
      </c>
      <c r="E180" s="46">
        <v>0.1225</v>
      </c>
      <c r="F180" s="13">
        <f t="shared" si="30"/>
        <v>0.245</v>
      </c>
      <c r="G180" s="13">
        <v>2</v>
      </c>
      <c r="H180" s="46">
        <f t="shared" si="31"/>
        <v>0.49</v>
      </c>
      <c r="I180" s="13">
        <f t="shared" si="32"/>
        <v>0.98</v>
      </c>
      <c r="J180" s="50">
        <f t="shared" si="33"/>
        <v>1.5006249999999999E-2</v>
      </c>
      <c r="K180" s="49">
        <f t="shared" si="34"/>
        <v>3.6765312499999997E-3</v>
      </c>
    </row>
    <row r="181" spans="3:11">
      <c r="C181" s="2">
        <v>3</v>
      </c>
      <c r="D181" s="2">
        <v>4</v>
      </c>
      <c r="E181" s="46">
        <v>0.14749999999999999</v>
      </c>
      <c r="F181" s="13">
        <f t="shared" si="30"/>
        <v>0.59</v>
      </c>
      <c r="G181" s="13">
        <v>3</v>
      </c>
      <c r="H181" s="46">
        <f t="shared" si="31"/>
        <v>1.77</v>
      </c>
      <c r="I181" s="13">
        <f t="shared" si="32"/>
        <v>5.3100000000000005</v>
      </c>
      <c r="J181" s="50">
        <f t="shared" si="33"/>
        <v>2.1756249999999998E-2</v>
      </c>
      <c r="K181" s="49">
        <f t="shared" si="34"/>
        <v>1.2836187499999999E-2</v>
      </c>
    </row>
    <row r="182" spans="3:11">
      <c r="C182" s="2">
        <v>4</v>
      </c>
      <c r="D182" s="2">
        <v>2</v>
      </c>
      <c r="E182" s="46">
        <v>0.158</v>
      </c>
      <c r="F182" s="13">
        <f t="shared" si="30"/>
        <v>0.316</v>
      </c>
      <c r="G182" s="13">
        <v>4</v>
      </c>
      <c r="H182" s="46">
        <f t="shared" si="31"/>
        <v>1.264</v>
      </c>
      <c r="I182" s="13">
        <f t="shared" si="32"/>
        <v>5.056</v>
      </c>
      <c r="J182" s="50">
        <f t="shared" si="33"/>
        <v>2.4964E-2</v>
      </c>
      <c r="K182" s="49">
        <f t="shared" si="34"/>
        <v>7.8886240000000003E-3</v>
      </c>
    </row>
    <row r="183" spans="3:11">
      <c r="C183" s="2">
        <v>5</v>
      </c>
      <c r="D183" s="2">
        <v>4</v>
      </c>
      <c r="E183" s="46">
        <v>0.16250000000000001</v>
      </c>
      <c r="F183" s="13">
        <f t="shared" si="30"/>
        <v>0.65</v>
      </c>
      <c r="G183" s="13">
        <v>5</v>
      </c>
      <c r="H183" s="46">
        <f t="shared" si="31"/>
        <v>3.25</v>
      </c>
      <c r="I183" s="13">
        <f t="shared" si="32"/>
        <v>16.25</v>
      </c>
      <c r="J183" s="50">
        <f t="shared" si="33"/>
        <v>2.6406250000000003E-2</v>
      </c>
      <c r="K183" s="49">
        <f t="shared" si="34"/>
        <v>1.7164062500000004E-2</v>
      </c>
    </row>
    <row r="184" spans="3:11">
      <c r="C184" s="2">
        <v>6</v>
      </c>
      <c r="D184" s="2">
        <v>2</v>
      </c>
      <c r="E184" s="46">
        <v>0.16400000000000001</v>
      </c>
      <c r="F184" s="13">
        <f t="shared" si="30"/>
        <v>0.32800000000000001</v>
      </c>
      <c r="G184" s="13">
        <v>6</v>
      </c>
      <c r="H184" s="46">
        <f t="shared" si="31"/>
        <v>1.968</v>
      </c>
      <c r="I184" s="13">
        <f t="shared" si="32"/>
        <v>11.808</v>
      </c>
      <c r="J184" s="50">
        <f t="shared" si="33"/>
        <v>2.6896000000000003E-2</v>
      </c>
      <c r="K184" s="49">
        <f t="shared" si="34"/>
        <v>8.8218880000000017E-3</v>
      </c>
    </row>
    <row r="185" spans="3:11">
      <c r="C185" s="2">
        <v>7</v>
      </c>
      <c r="D185" s="2">
        <v>4</v>
      </c>
      <c r="E185" s="46">
        <v>0.1615</v>
      </c>
      <c r="F185" s="13">
        <f t="shared" si="30"/>
        <v>0.64600000000000002</v>
      </c>
      <c r="G185" s="13">
        <v>7</v>
      </c>
      <c r="H185" s="46">
        <f t="shared" si="31"/>
        <v>4.5220000000000002</v>
      </c>
      <c r="I185" s="13">
        <f t="shared" si="32"/>
        <v>31.654000000000003</v>
      </c>
      <c r="J185" s="50">
        <f t="shared" si="33"/>
        <v>2.6082250000000001E-2</v>
      </c>
      <c r="K185" s="49">
        <f t="shared" si="34"/>
        <v>1.6849133500000002E-2</v>
      </c>
    </row>
    <row r="186" spans="3:11">
      <c r="C186" s="2">
        <v>8</v>
      </c>
      <c r="D186" s="2">
        <v>2</v>
      </c>
      <c r="E186" s="46">
        <v>0.15709999999999999</v>
      </c>
      <c r="F186" s="13">
        <f t="shared" si="30"/>
        <v>0.31419999999999998</v>
      </c>
      <c r="G186" s="13">
        <v>8</v>
      </c>
      <c r="H186" s="46">
        <f t="shared" si="31"/>
        <v>2.5135999999999998</v>
      </c>
      <c r="I186" s="13">
        <f t="shared" si="32"/>
        <v>20.108799999999999</v>
      </c>
      <c r="J186" s="50">
        <f t="shared" si="33"/>
        <v>2.4680409999999996E-2</v>
      </c>
      <c r="K186" s="49">
        <f t="shared" si="34"/>
        <v>7.7545848219999986E-3</v>
      </c>
    </row>
    <row r="187" spans="3:11" ht="18" customHeight="1">
      <c r="C187" s="2">
        <v>9</v>
      </c>
      <c r="D187" s="2">
        <v>4</v>
      </c>
      <c r="E187" s="46">
        <v>0.153</v>
      </c>
      <c r="F187" s="13">
        <f t="shared" si="30"/>
        <v>0.61199999999999999</v>
      </c>
      <c r="G187" s="13">
        <v>9</v>
      </c>
      <c r="H187" s="46">
        <f t="shared" si="31"/>
        <v>5.508</v>
      </c>
      <c r="I187" s="13">
        <f t="shared" si="32"/>
        <v>49.572000000000003</v>
      </c>
      <c r="J187" s="50">
        <f t="shared" si="33"/>
        <v>2.3408999999999999E-2</v>
      </c>
      <c r="K187" s="49">
        <f t="shared" si="34"/>
        <v>1.4326307999999999E-2</v>
      </c>
    </row>
    <row r="188" spans="3:11">
      <c r="C188" s="11">
        <v>10</v>
      </c>
      <c r="D188" s="11">
        <v>1</v>
      </c>
      <c r="E188" s="47">
        <v>0.14899999999999999</v>
      </c>
      <c r="F188" s="55">
        <f t="shared" si="30"/>
        <v>0.14899999999999999</v>
      </c>
      <c r="G188" s="55">
        <v>10</v>
      </c>
      <c r="H188" s="47">
        <f t="shared" si="31"/>
        <v>1.49</v>
      </c>
      <c r="I188" s="55">
        <f t="shared" si="32"/>
        <v>14.9</v>
      </c>
      <c r="J188" s="59">
        <f t="shared" si="33"/>
        <v>2.2200999999999999E-2</v>
      </c>
      <c r="K188" s="56">
        <f t="shared" si="34"/>
        <v>3.3079489999999997E-3</v>
      </c>
    </row>
    <row r="189" spans="3:11">
      <c r="C189" s="2"/>
      <c r="D189" s="2"/>
      <c r="E189" s="2"/>
      <c r="F189" s="13">
        <f>SUM(F178:F188)</f>
        <v>4.2922000000000002</v>
      </c>
      <c r="G189" s="2"/>
      <c r="H189" s="13">
        <f>SUM(H178:H188)</f>
        <v>23.167599999999997</v>
      </c>
      <c r="I189" s="13">
        <f>SUM(I178:I188)</f>
        <v>156.03080000000003</v>
      </c>
      <c r="J189" s="2"/>
      <c r="K189" s="49">
        <f>SUM(K178:K188)</f>
        <v>9.6515036572000015E-2</v>
      </c>
    </row>
    <row r="193" spans="3:11" ht="15.6">
      <c r="C193" t="s">
        <v>32</v>
      </c>
      <c r="E193" s="19"/>
      <c r="H193">
        <f>(2/3*100*F189)/1000</f>
        <v>0.28614666666666666</v>
      </c>
      <c r="J193" t="s">
        <v>38</v>
      </c>
      <c r="K193">
        <f>H197/'Part-1'!G164</f>
        <v>0.66725300550677591</v>
      </c>
    </row>
    <row r="194" spans="3:11">
      <c r="C194" t="s">
        <v>33</v>
      </c>
      <c r="H194">
        <f>(2/3*100*100*H189)/1000000</f>
        <v>0.15445066666666663</v>
      </c>
      <c r="J194" t="s">
        <v>39</v>
      </c>
      <c r="K194">
        <f>(('Part-1'!J164*'Part-2'!K193)/(100*1082.5))*1000</f>
        <v>1.9557061470941171E-4</v>
      </c>
    </row>
    <row r="195" spans="3:11" ht="15.6">
      <c r="C195" t="s">
        <v>34</v>
      </c>
      <c r="H195">
        <f>(100*(H189/F189))/1000</f>
        <v>0.53976049578304819</v>
      </c>
      <c r="J195" t="s">
        <v>40</v>
      </c>
      <c r="K195">
        <f>H198/'Part-1'!G164</f>
        <v>6.9289170791516794E-2</v>
      </c>
    </row>
    <row r="196" spans="3:11">
      <c r="C196" t="s">
        <v>35</v>
      </c>
      <c r="H196">
        <f>(2/3*100*100*100*I189)/1000000000</f>
        <v>0.10402053333333335</v>
      </c>
      <c r="J196" t="s">
        <v>41</v>
      </c>
      <c r="K196">
        <f>(H193*1.025)/100</f>
        <v>2.9330033333333327E-3</v>
      </c>
    </row>
    <row r="197" spans="3:11" ht="15.6">
      <c r="C197" t="s">
        <v>36</v>
      </c>
      <c r="H197">
        <f>H196-H193*(H195^2)</f>
        <v>2.0654164919311047E-2</v>
      </c>
      <c r="J197" t="s">
        <v>42</v>
      </c>
      <c r="K197">
        <f>(H193/(1082.5*327.04))*1000000</f>
        <v>0.80827642518932963</v>
      </c>
    </row>
    <row r="198" spans="3:11">
      <c r="C198" t="s">
        <v>37</v>
      </c>
      <c r="H198">
        <f>(2/9*100*K189)/1000</f>
        <v>2.1447785904888891E-3</v>
      </c>
    </row>
    <row r="202" spans="3:11" ht="15" thickBot="1"/>
    <row r="203" spans="3:11" ht="15" thickBot="1">
      <c r="F203" s="67" t="s">
        <v>73</v>
      </c>
      <c r="G203" s="68"/>
      <c r="I203" s="16"/>
      <c r="J203" s="16"/>
    </row>
    <row r="204" spans="3:11">
      <c r="I204" s="16"/>
    </row>
    <row r="205" spans="3:11" ht="15.6">
      <c r="C205" s="17" t="s">
        <v>23</v>
      </c>
      <c r="D205" s="17" t="s">
        <v>24</v>
      </c>
      <c r="E205" s="17" t="s">
        <v>25</v>
      </c>
      <c r="F205" s="17" t="s">
        <v>26</v>
      </c>
      <c r="G205" s="17" t="s">
        <v>27</v>
      </c>
      <c r="H205" s="17" t="s">
        <v>28</v>
      </c>
      <c r="I205" s="18" t="s">
        <v>29</v>
      </c>
      <c r="J205" s="17" t="s">
        <v>30</v>
      </c>
      <c r="K205" s="17" t="s">
        <v>31</v>
      </c>
    </row>
    <row r="206" spans="3:11">
      <c r="C206" s="2">
        <v>0</v>
      </c>
      <c r="D206" s="2">
        <v>1</v>
      </c>
      <c r="E206" s="46">
        <v>6.3500000000000001E-2</v>
      </c>
      <c r="F206" s="13">
        <f>E206*D206</f>
        <v>6.3500000000000001E-2</v>
      </c>
      <c r="G206" s="13">
        <v>0</v>
      </c>
      <c r="H206" s="46">
        <f>F206*G206</f>
        <v>0</v>
      </c>
      <c r="I206" s="13">
        <f>H206*G206</f>
        <v>0</v>
      </c>
      <c r="J206" s="50">
        <f>E206*E206</f>
        <v>4.0322500000000002E-3</v>
      </c>
      <c r="K206" s="49">
        <f>J206*F206</f>
        <v>2.56047875E-4</v>
      </c>
    </row>
    <row r="207" spans="3:11">
      <c r="C207" s="2">
        <v>1</v>
      </c>
      <c r="D207" s="2">
        <v>4</v>
      </c>
      <c r="E207" s="46">
        <v>0.1085</v>
      </c>
      <c r="F207" s="13">
        <f t="shared" ref="F207:F216" si="35">E207*D207</f>
        <v>0.434</v>
      </c>
      <c r="G207" s="13">
        <v>1</v>
      </c>
      <c r="H207" s="46">
        <f t="shared" ref="H207:H216" si="36">F207*G207</f>
        <v>0.434</v>
      </c>
      <c r="I207" s="13">
        <f t="shared" ref="I207:I216" si="37">H207*G207</f>
        <v>0.434</v>
      </c>
      <c r="J207" s="50">
        <f t="shared" ref="J207:J216" si="38">E207*E207</f>
        <v>1.177225E-2</v>
      </c>
      <c r="K207" s="49">
        <f t="shared" ref="K207:K216" si="39">J207*F207</f>
        <v>5.1091564999999999E-3</v>
      </c>
    </row>
    <row r="208" spans="3:11">
      <c r="C208" s="2">
        <v>2</v>
      </c>
      <c r="D208" s="2">
        <v>2</v>
      </c>
      <c r="E208" s="46">
        <v>0.13550000000000001</v>
      </c>
      <c r="F208" s="13">
        <f t="shared" si="35"/>
        <v>0.27100000000000002</v>
      </c>
      <c r="G208" s="13">
        <v>2</v>
      </c>
      <c r="H208" s="46">
        <f t="shared" si="36"/>
        <v>0.54200000000000004</v>
      </c>
      <c r="I208" s="13">
        <f t="shared" si="37"/>
        <v>1.0840000000000001</v>
      </c>
      <c r="J208" s="50">
        <f t="shared" si="38"/>
        <v>1.8360250000000002E-2</v>
      </c>
      <c r="K208" s="49">
        <f t="shared" si="39"/>
        <v>4.9756277500000012E-3</v>
      </c>
    </row>
    <row r="209" spans="3:11">
      <c r="C209" s="2">
        <v>3</v>
      </c>
      <c r="D209" s="2">
        <v>4</v>
      </c>
      <c r="E209" s="46">
        <v>0.154</v>
      </c>
      <c r="F209" s="13">
        <f t="shared" si="35"/>
        <v>0.61599999999999999</v>
      </c>
      <c r="G209" s="13">
        <v>3</v>
      </c>
      <c r="H209" s="46">
        <f t="shared" si="36"/>
        <v>1.8479999999999999</v>
      </c>
      <c r="I209" s="13">
        <f t="shared" si="37"/>
        <v>5.5439999999999996</v>
      </c>
      <c r="J209" s="50">
        <f t="shared" si="38"/>
        <v>2.3716000000000001E-2</v>
      </c>
      <c r="K209" s="49">
        <f t="shared" si="39"/>
        <v>1.4609056E-2</v>
      </c>
    </row>
    <row r="210" spans="3:11">
      <c r="C210" s="2">
        <v>4</v>
      </c>
      <c r="D210" s="2">
        <v>2</v>
      </c>
      <c r="E210" s="46">
        <v>0.16300000000000001</v>
      </c>
      <c r="F210" s="13">
        <f t="shared" si="35"/>
        <v>0.32600000000000001</v>
      </c>
      <c r="G210" s="13">
        <v>4</v>
      </c>
      <c r="H210" s="46">
        <f t="shared" si="36"/>
        <v>1.304</v>
      </c>
      <c r="I210" s="13">
        <f t="shared" si="37"/>
        <v>5.2160000000000002</v>
      </c>
      <c r="J210" s="50">
        <f t="shared" si="38"/>
        <v>2.6569000000000002E-2</v>
      </c>
      <c r="K210" s="49">
        <f t="shared" si="39"/>
        <v>8.6614940000000005E-3</v>
      </c>
    </row>
    <row r="211" spans="3:11">
      <c r="C211" s="2">
        <v>5</v>
      </c>
      <c r="D211" s="2">
        <v>4</v>
      </c>
      <c r="E211" s="46">
        <v>0.16650000000000001</v>
      </c>
      <c r="F211" s="13">
        <f t="shared" si="35"/>
        <v>0.66600000000000004</v>
      </c>
      <c r="G211" s="13">
        <v>5</v>
      </c>
      <c r="H211" s="46">
        <f t="shared" si="36"/>
        <v>3.33</v>
      </c>
      <c r="I211" s="13">
        <f t="shared" si="37"/>
        <v>16.649999999999999</v>
      </c>
      <c r="J211" s="50">
        <f t="shared" si="38"/>
        <v>2.7722250000000004E-2</v>
      </c>
      <c r="K211" s="49">
        <f t="shared" si="39"/>
        <v>1.8463018500000004E-2</v>
      </c>
    </row>
    <row r="212" spans="3:11">
      <c r="C212" s="2">
        <v>6</v>
      </c>
      <c r="D212" s="2">
        <v>2</v>
      </c>
      <c r="E212" s="46">
        <v>0.16700000000000001</v>
      </c>
      <c r="F212" s="13">
        <f t="shared" si="35"/>
        <v>0.33400000000000002</v>
      </c>
      <c r="G212" s="13">
        <v>6</v>
      </c>
      <c r="H212" s="46">
        <f t="shared" si="36"/>
        <v>2.004</v>
      </c>
      <c r="I212" s="13">
        <f t="shared" si="37"/>
        <v>12.024000000000001</v>
      </c>
      <c r="J212" s="50">
        <f t="shared" si="38"/>
        <v>2.7889000000000004E-2</v>
      </c>
      <c r="K212" s="49">
        <f t="shared" si="39"/>
        <v>9.3149260000000011E-3</v>
      </c>
    </row>
    <row r="213" spans="3:11">
      <c r="C213" s="2">
        <v>7</v>
      </c>
      <c r="D213" s="2">
        <v>4</v>
      </c>
      <c r="E213" s="46">
        <v>0.16450000000000001</v>
      </c>
      <c r="F213" s="13">
        <f t="shared" si="35"/>
        <v>0.65800000000000003</v>
      </c>
      <c r="G213" s="13">
        <v>7</v>
      </c>
      <c r="H213" s="46">
        <f t="shared" si="36"/>
        <v>4.6059999999999999</v>
      </c>
      <c r="I213" s="13">
        <f t="shared" si="37"/>
        <v>32.241999999999997</v>
      </c>
      <c r="J213" s="50">
        <f t="shared" si="38"/>
        <v>2.7060250000000001E-2</v>
      </c>
      <c r="K213" s="49">
        <f t="shared" si="39"/>
        <v>1.7805644500000002E-2</v>
      </c>
    </row>
    <row r="214" spans="3:11">
      <c r="C214" s="2">
        <v>8</v>
      </c>
      <c r="D214" s="2">
        <v>2</v>
      </c>
      <c r="E214" s="46">
        <v>0.1605</v>
      </c>
      <c r="F214" s="13">
        <f t="shared" si="35"/>
        <v>0.32100000000000001</v>
      </c>
      <c r="G214" s="13">
        <v>8</v>
      </c>
      <c r="H214" s="46">
        <f t="shared" si="36"/>
        <v>2.5680000000000001</v>
      </c>
      <c r="I214" s="13">
        <f t="shared" si="37"/>
        <v>20.544</v>
      </c>
      <c r="J214" s="50">
        <f t="shared" si="38"/>
        <v>2.5760250000000002E-2</v>
      </c>
      <c r="K214" s="49">
        <f t="shared" si="39"/>
        <v>8.2690402499999999E-3</v>
      </c>
    </row>
    <row r="215" spans="3:11">
      <c r="C215" s="2">
        <v>9</v>
      </c>
      <c r="D215" s="2">
        <v>4</v>
      </c>
      <c r="E215" s="46">
        <v>0.1565</v>
      </c>
      <c r="F215" s="55">
        <f t="shared" si="35"/>
        <v>0.626</v>
      </c>
      <c r="G215" s="13">
        <v>9</v>
      </c>
      <c r="H215" s="46">
        <f t="shared" si="36"/>
        <v>5.6340000000000003</v>
      </c>
      <c r="I215" s="13">
        <f t="shared" si="37"/>
        <v>50.706000000000003</v>
      </c>
      <c r="J215" s="50">
        <f t="shared" si="38"/>
        <v>2.449225E-2</v>
      </c>
      <c r="K215" s="49">
        <f t="shared" si="39"/>
        <v>1.53321485E-2</v>
      </c>
    </row>
    <row r="216" spans="3:11">
      <c r="C216" s="11">
        <v>10</v>
      </c>
      <c r="D216" s="11">
        <v>1</v>
      </c>
      <c r="E216" s="57">
        <v>0.153</v>
      </c>
      <c r="F216" s="55">
        <f t="shared" si="35"/>
        <v>0.153</v>
      </c>
      <c r="G216" s="58">
        <v>10</v>
      </c>
      <c r="H216" s="47">
        <f t="shared" si="36"/>
        <v>1.53</v>
      </c>
      <c r="I216" s="55">
        <f t="shared" si="37"/>
        <v>15.3</v>
      </c>
      <c r="J216" s="59">
        <f t="shared" si="38"/>
        <v>2.3408999999999999E-2</v>
      </c>
      <c r="K216" s="56">
        <f t="shared" si="39"/>
        <v>3.5815769999999999E-3</v>
      </c>
    </row>
    <row r="217" spans="3:11">
      <c r="C217" s="2"/>
      <c r="D217" s="2"/>
      <c r="E217" s="2"/>
      <c r="F217" s="13">
        <f>SUM(F206:F216)</f>
        <v>4.4684999999999997</v>
      </c>
      <c r="G217" s="2"/>
      <c r="H217" s="13">
        <f>SUM(H206:H216)</f>
        <v>23.8</v>
      </c>
      <c r="I217" s="13">
        <f>SUM(I206:I216)</f>
        <v>159.744</v>
      </c>
      <c r="J217" s="2"/>
      <c r="K217" s="49">
        <f>SUM(K206:K216)</f>
        <v>0.10637773687500002</v>
      </c>
    </row>
    <row r="218" spans="3:11">
      <c r="F218" s="10"/>
    </row>
    <row r="221" spans="3:11" ht="15.6">
      <c r="C221" t="s">
        <v>32</v>
      </c>
      <c r="E221" s="19"/>
      <c r="H221">
        <f>(2/3*100*F217)/1000</f>
        <v>0.29789999999999994</v>
      </c>
      <c r="J221" t="s">
        <v>38</v>
      </c>
      <c r="K221">
        <f>H225/'Part-1'!G188</f>
        <v>0.57726374728966512</v>
      </c>
    </row>
    <row r="222" spans="3:11">
      <c r="C222" t="s">
        <v>33</v>
      </c>
      <c r="H222">
        <f>(2/3*100*100*H217)/1000000</f>
        <v>0.15866666666666665</v>
      </c>
      <c r="J222" t="s">
        <v>39</v>
      </c>
      <c r="K222">
        <f>(('Part-1'!J188*'Part-2'!K221)/(100*1103.34))*1000</f>
        <v>2.0426240190694664E-4</v>
      </c>
    </row>
    <row r="223" spans="3:11" ht="15.6">
      <c r="C223" t="s">
        <v>34</v>
      </c>
      <c r="H223">
        <f>(100*(H217/F217))/1000</f>
        <v>0.53261720935436951</v>
      </c>
      <c r="J223" t="s">
        <v>40</v>
      </c>
      <c r="K223">
        <f>H226/'Part-1'!G188</f>
        <v>6.2063831755820156E-2</v>
      </c>
    </row>
    <row r="224" spans="3:11">
      <c r="C224" t="s">
        <v>35</v>
      </c>
      <c r="H224">
        <f>(2/3*100*100*100*I217)/1000000000</f>
        <v>0.10649599999999999</v>
      </c>
      <c r="J224" t="s">
        <v>41</v>
      </c>
      <c r="K224">
        <f>(H221*1.025)/100</f>
        <v>3.0534749999999995E-3</v>
      </c>
    </row>
    <row r="225" spans="3:11" ht="15.6">
      <c r="C225" t="s">
        <v>36</v>
      </c>
      <c r="H225">
        <f>H224-H221*(H223^2)</f>
        <v>2.1987402782440046E-2</v>
      </c>
      <c r="J225" t="s">
        <v>42</v>
      </c>
      <c r="K225">
        <f>(H221/(1103.34*333.9))*1000000</f>
        <v>0.80862045100304836</v>
      </c>
    </row>
    <row r="226" spans="3:11">
      <c r="C226" t="s">
        <v>37</v>
      </c>
      <c r="H226">
        <f>(2/9*100*K217)/1000</f>
        <v>2.3639497083333336E-3</v>
      </c>
    </row>
  </sheetData>
  <mergeCells count="8">
    <mergeCell ref="F175:G175"/>
    <mergeCell ref="F203:G203"/>
    <mergeCell ref="F6:G6"/>
    <mergeCell ref="F34:G34"/>
    <mergeCell ref="F62:G62"/>
    <mergeCell ref="F91:G91"/>
    <mergeCell ref="F119:G119"/>
    <mergeCell ref="F147:G1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3"/>
  <sheetViews>
    <sheetView tabSelected="1" topLeftCell="B4" zoomScaleNormal="100" workbookViewId="0">
      <selection activeCell="J7" sqref="J7"/>
    </sheetView>
  </sheetViews>
  <sheetFormatPr defaultRowHeight="14.4"/>
  <cols>
    <col min="6" max="6" width="13.6640625" customWidth="1"/>
    <col min="9" max="9" width="14" customWidth="1"/>
    <col min="10" max="10" width="15.88671875" customWidth="1"/>
    <col min="11" max="11" width="18.6640625" customWidth="1"/>
    <col min="12" max="12" width="14.6640625" customWidth="1"/>
    <col min="13" max="13" width="15.33203125" customWidth="1"/>
    <col min="14" max="14" width="16" customWidth="1"/>
    <col min="15" max="15" width="15.6640625" customWidth="1"/>
    <col min="16" max="16" width="15.44140625" customWidth="1"/>
  </cols>
  <sheetData>
    <row r="2" spans="2:25">
      <c r="B2" s="22"/>
      <c r="C2" s="22"/>
      <c r="E2" s="10"/>
      <c r="F2" s="10"/>
      <c r="G2" s="10"/>
      <c r="H2" s="10"/>
      <c r="I2" s="10"/>
    </row>
    <row r="3" spans="2:25">
      <c r="B3" s="22"/>
      <c r="C3" s="22"/>
      <c r="E3" s="10"/>
      <c r="F3" s="10"/>
      <c r="G3" s="10"/>
      <c r="H3" s="10"/>
      <c r="I3" s="10"/>
      <c r="K3" s="22"/>
    </row>
    <row r="4" spans="2:25">
      <c r="B4" s="22"/>
      <c r="E4" s="10"/>
      <c r="F4" s="10"/>
      <c r="G4" s="10"/>
      <c r="H4" s="10"/>
      <c r="I4" s="10"/>
      <c r="K4" s="22"/>
    </row>
    <row r="5" spans="2:25">
      <c r="B5" s="22"/>
      <c r="E5" s="10"/>
      <c r="F5" s="10"/>
      <c r="G5" s="10"/>
      <c r="H5" s="10"/>
      <c r="I5" s="10"/>
      <c r="K5" s="22"/>
    </row>
    <row r="6" spans="2:25" ht="15" thickBot="1">
      <c r="B6" s="22"/>
      <c r="E6" s="10"/>
      <c r="F6" s="10"/>
      <c r="G6" s="10"/>
      <c r="H6" s="10"/>
      <c r="I6" s="10"/>
      <c r="K6" s="22"/>
    </row>
    <row r="7" spans="2:25" ht="15" thickBot="1">
      <c r="B7" s="22"/>
      <c r="C7" s="67" t="s">
        <v>44</v>
      </c>
      <c r="D7" s="68"/>
      <c r="E7" s="10"/>
      <c r="F7" s="10"/>
      <c r="G7" s="10"/>
      <c r="H7" s="10"/>
      <c r="I7" s="10"/>
      <c r="P7" s="26"/>
      <c r="R7" s="73"/>
      <c r="S7" s="10"/>
      <c r="T7" s="73"/>
      <c r="U7" s="10"/>
      <c r="V7" s="73"/>
      <c r="W7" s="10"/>
      <c r="X7" s="73"/>
      <c r="Y7" s="10"/>
    </row>
    <row r="8" spans="2:25">
      <c r="B8" s="22"/>
      <c r="E8" s="10"/>
      <c r="F8" s="10"/>
      <c r="G8" s="10"/>
      <c r="H8" s="10"/>
      <c r="I8" s="10"/>
      <c r="K8" s="22"/>
      <c r="R8" s="73"/>
      <c r="S8" s="10"/>
      <c r="T8" s="73"/>
      <c r="U8" s="10"/>
      <c r="V8" s="73"/>
      <c r="W8" s="10"/>
      <c r="X8" s="73"/>
      <c r="Y8" s="10"/>
    </row>
    <row r="9" spans="2:25">
      <c r="B9" s="22"/>
      <c r="E9" s="10"/>
      <c r="F9" s="10"/>
      <c r="G9" s="10"/>
      <c r="H9" s="10"/>
      <c r="I9" s="10"/>
      <c r="K9" s="22"/>
      <c r="R9" s="10"/>
      <c r="S9" s="10"/>
      <c r="T9" s="10"/>
      <c r="U9" s="10"/>
      <c r="V9" s="10"/>
      <c r="W9" s="10"/>
      <c r="X9" s="10"/>
      <c r="Y9" s="10"/>
    </row>
    <row r="10" spans="2:25">
      <c r="B10" s="22"/>
      <c r="E10" s="10"/>
      <c r="F10" s="10"/>
      <c r="G10" s="10"/>
      <c r="H10" s="10"/>
      <c r="I10" s="10"/>
      <c r="K10" s="22"/>
      <c r="R10" s="10"/>
      <c r="S10" s="10"/>
      <c r="T10" s="10"/>
      <c r="U10" s="10"/>
      <c r="V10" s="10"/>
      <c r="W10" s="10"/>
      <c r="X10" s="10"/>
      <c r="Y10" s="10"/>
    </row>
    <row r="11" spans="2:25">
      <c r="B11" s="22"/>
      <c r="E11" s="10"/>
      <c r="F11" s="10"/>
      <c r="G11" s="10"/>
      <c r="H11" s="10"/>
      <c r="I11" s="10"/>
      <c r="K11" s="22"/>
      <c r="R11" s="10"/>
      <c r="S11" s="10"/>
      <c r="T11" s="10"/>
      <c r="U11" s="10"/>
      <c r="V11" s="10"/>
      <c r="W11" s="10"/>
      <c r="X11" s="10"/>
      <c r="Y11" s="10"/>
    </row>
    <row r="12" spans="2:25" ht="15" thickBot="1">
      <c r="E12" s="10"/>
      <c r="F12" s="10"/>
      <c r="G12" s="10"/>
      <c r="H12" s="10"/>
      <c r="I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25" ht="15" thickBot="1">
      <c r="C13" s="74" t="s">
        <v>45</v>
      </c>
      <c r="D13" s="77" t="s">
        <v>57</v>
      </c>
      <c r="E13" s="78"/>
      <c r="F13" s="78"/>
      <c r="G13" s="78"/>
      <c r="H13" s="79"/>
      <c r="I13" s="67" t="s">
        <v>65</v>
      </c>
      <c r="J13" s="85"/>
      <c r="K13" s="85"/>
      <c r="L13" s="85"/>
      <c r="M13" s="85"/>
      <c r="N13" s="85"/>
      <c r="O13" s="85"/>
      <c r="P13" s="68"/>
      <c r="Q13" s="10"/>
      <c r="R13" s="10"/>
      <c r="S13" s="10"/>
      <c r="T13" s="10"/>
      <c r="U13" s="10"/>
      <c r="V13" s="10"/>
      <c r="W13" s="10"/>
      <c r="X13" s="10"/>
      <c r="Y13" s="10"/>
    </row>
    <row r="14" spans="2:25">
      <c r="C14" s="76"/>
      <c r="D14" s="80"/>
      <c r="E14" s="73"/>
      <c r="F14" s="73"/>
      <c r="G14" s="73"/>
      <c r="H14" s="81"/>
      <c r="I14" s="74">
        <v>2.5000000000000001E-2</v>
      </c>
      <c r="J14" s="74">
        <v>0.05</v>
      </c>
      <c r="K14" s="74">
        <v>7.4999999999999997E-2</v>
      </c>
      <c r="L14" s="74">
        <v>0.1</v>
      </c>
      <c r="M14" s="74">
        <v>0.125</v>
      </c>
      <c r="N14" s="74">
        <v>0.15</v>
      </c>
      <c r="O14" s="74">
        <v>0.17499999999999999</v>
      </c>
      <c r="P14" s="74">
        <v>0.2</v>
      </c>
      <c r="Q14" s="10"/>
      <c r="R14" s="10"/>
      <c r="S14" s="10"/>
      <c r="T14" s="10"/>
      <c r="U14" s="10"/>
      <c r="V14" s="10"/>
      <c r="W14" s="10"/>
      <c r="X14" s="10"/>
      <c r="Y14" s="10"/>
    </row>
    <row r="15" spans="2:25" ht="15" thickBot="1">
      <c r="C15" s="75"/>
      <c r="D15" s="82"/>
      <c r="E15" s="83"/>
      <c r="F15" s="83"/>
      <c r="G15" s="83"/>
      <c r="H15" s="84"/>
      <c r="I15" s="75"/>
      <c r="J15" s="75"/>
      <c r="K15" s="75"/>
      <c r="L15" s="75"/>
      <c r="M15" s="75"/>
      <c r="N15" s="75"/>
      <c r="O15" s="75"/>
      <c r="P15" s="75"/>
      <c r="Q15" s="10"/>
      <c r="R15" s="10"/>
      <c r="S15" s="10"/>
      <c r="T15" s="10"/>
      <c r="U15" s="10"/>
      <c r="V15" s="10"/>
      <c r="W15" s="10"/>
      <c r="X15" s="10"/>
      <c r="Y15" s="10"/>
    </row>
    <row r="16" spans="2:25">
      <c r="C16" s="44">
        <v>1</v>
      </c>
      <c r="D16" s="86" t="s">
        <v>46</v>
      </c>
      <c r="E16" s="87"/>
      <c r="F16" s="87"/>
      <c r="G16" s="87"/>
      <c r="H16" s="88"/>
      <c r="I16" s="29">
        <f>(('Part-1'!G20))</f>
        <v>1.6622073333333329E-4</v>
      </c>
      <c r="J16" s="34">
        <f>(('Part-1'!G44))</f>
        <v>1.2699834066666666E-3</v>
      </c>
      <c r="K16" s="39">
        <f>(('Part-1'!G69))</f>
        <v>5.251312376666665E-3</v>
      </c>
      <c r="L16" s="34">
        <f>(('Part-1'!G93))</f>
        <v>1.0845793826666665E-2</v>
      </c>
      <c r="M16" s="39">
        <f>(('Part-1'!G116))</f>
        <v>1.7096614106666665E-2</v>
      </c>
      <c r="N16" s="34">
        <f>(('Part-1'!G140))</f>
        <v>2.3876197133333329E-2</v>
      </c>
      <c r="O16" s="39">
        <f>(('Part-1'!G164))</f>
        <v>3.0954023059999999E-2</v>
      </c>
      <c r="P16" s="34">
        <f>(('Part-1'!G188))</f>
        <v>3.8089006776666663E-2</v>
      </c>
      <c r="Q16" s="10"/>
      <c r="R16" s="10"/>
      <c r="S16" s="10"/>
      <c r="T16" s="10"/>
      <c r="U16" s="10"/>
      <c r="V16" s="10"/>
      <c r="W16" s="10"/>
      <c r="X16" s="10"/>
      <c r="Y16" s="10"/>
    </row>
    <row r="17" spans="3:25">
      <c r="C17" s="45">
        <v>2</v>
      </c>
      <c r="D17" s="69" t="s">
        <v>47</v>
      </c>
      <c r="E17" s="70"/>
      <c r="F17" s="70"/>
      <c r="G17" s="70"/>
      <c r="H17" s="71"/>
      <c r="I17" s="30">
        <f>(('Part-1'!J20))</f>
        <v>1.7037625166666662E-4</v>
      </c>
      <c r="J17" s="35">
        <f>(('Part-1'!J44))</f>
        <v>1.3017329918333332E-3</v>
      </c>
      <c r="K17" s="40">
        <f>(('Part-1'!J69))</f>
        <v>5.3825951860833315E-3</v>
      </c>
      <c r="L17" s="35">
        <f>(('Part-1'!J93))</f>
        <v>1.1116938672333331E-2</v>
      </c>
      <c r="M17" s="40">
        <f>(('Part-1'!J116))</f>
        <v>1.7524029459333328E-2</v>
      </c>
      <c r="N17" s="35">
        <f>(('Part-1'!J140))</f>
        <v>2.4473102061666661E-2</v>
      </c>
      <c r="O17" s="40">
        <f>(('Part-1'!J164))</f>
        <v>3.1727873636499995E-2</v>
      </c>
      <c r="P17" s="35">
        <f>(('Part-1'!J188))</f>
        <v>3.9041231946083325E-2</v>
      </c>
      <c r="Q17" s="10"/>
      <c r="R17" s="10"/>
      <c r="S17" s="10"/>
      <c r="T17" s="10"/>
      <c r="U17" s="10"/>
      <c r="V17" s="10"/>
      <c r="W17" s="10"/>
      <c r="X17" s="10"/>
      <c r="Y17" s="10"/>
    </row>
    <row r="18" spans="3:25">
      <c r="C18" s="45">
        <v>3</v>
      </c>
      <c r="D18" s="69" t="s">
        <v>48</v>
      </c>
      <c r="E18" s="70"/>
      <c r="F18" s="70"/>
      <c r="G18" s="70"/>
      <c r="H18" s="71"/>
      <c r="I18" s="31">
        <f>'Part-1'!J21</f>
        <v>0.75465916606472283</v>
      </c>
      <c r="J18" s="36">
        <f>'Part-1'!J45</f>
        <v>0.59570332128906389</v>
      </c>
      <c r="K18" s="41">
        <f>'Part-1'!J70</f>
        <v>0.40712489500711885</v>
      </c>
      <c r="L18" s="36">
        <f>'Part-1'!J94</f>
        <v>0.2111675767216655</v>
      </c>
      <c r="M18" s="41">
        <f>'Part-1'!J117</f>
        <v>0.13963115650303681</v>
      </c>
      <c r="N18" s="36">
        <f>'Part-1'!J141</f>
        <v>0.10310826802047093</v>
      </c>
      <c r="O18" s="41">
        <f>'Part-1'!J165</f>
        <v>8.1550196618179638E-2</v>
      </c>
      <c r="P18" s="36">
        <f>'Part-1'!J189</f>
        <v>6.80633832713856E-2</v>
      </c>
      <c r="Q18" s="10"/>
      <c r="R18" s="10"/>
      <c r="S18" s="10"/>
      <c r="T18" s="10"/>
      <c r="U18" s="10"/>
      <c r="V18" s="10"/>
      <c r="W18" s="10"/>
      <c r="X18" s="10"/>
      <c r="Y18" s="10"/>
    </row>
    <row r="19" spans="3:25">
      <c r="C19" s="45">
        <v>4</v>
      </c>
      <c r="D19" s="69" t="s">
        <v>49</v>
      </c>
      <c r="E19" s="70"/>
      <c r="F19" s="70"/>
      <c r="G19" s="70"/>
      <c r="H19" s="71"/>
      <c r="I19" s="32">
        <f>((('Part-1'!J22)))</f>
        <v>0.35884269551612297</v>
      </c>
      <c r="J19" s="37">
        <f>((('Part-1'!J46)))</f>
        <v>4.3691416314620511E-7</v>
      </c>
      <c r="K19" s="42">
        <f>((('Part-1'!J71)))</f>
        <v>0.55899001889694611</v>
      </c>
      <c r="L19" s="37">
        <f>((('Part-1'!J95)))</f>
        <v>0.58376321510922025</v>
      </c>
      <c r="M19" s="42">
        <f>((('Part-1'!J118)))</f>
        <v>0.5806263193830774</v>
      </c>
      <c r="N19" s="37">
        <f>((('Part-1'!J142)))</f>
        <v>0.57213690219238345</v>
      </c>
      <c r="O19" s="42">
        <f>((('Part-1'!J166)))</f>
        <v>0.56447161648309929</v>
      </c>
      <c r="P19" s="37">
        <f>((('Part-1'!J190)))</f>
        <v>0.56044865859853477</v>
      </c>
      <c r="Q19" s="10"/>
      <c r="R19" s="10"/>
      <c r="S19" s="10"/>
      <c r="T19" s="10"/>
      <c r="U19" s="10"/>
      <c r="V19" s="10"/>
      <c r="W19" s="10"/>
      <c r="X19" s="10"/>
      <c r="Y19" s="10"/>
    </row>
    <row r="20" spans="3:25">
      <c r="C20" s="45">
        <v>5</v>
      </c>
      <c r="D20" s="69" t="s">
        <v>50</v>
      </c>
      <c r="E20" s="70"/>
      <c r="F20" s="70"/>
      <c r="G20" s="70"/>
      <c r="H20" s="71"/>
      <c r="I20" s="31">
        <f>'Part-1'!L20</f>
        <v>0.21732359412746868</v>
      </c>
      <c r="J20" s="36">
        <f>'Part-1'!L44</f>
        <v>0.18135711296019877</v>
      </c>
      <c r="K20" s="41">
        <f>'Part-1'!L69</f>
        <v>0.23672839126020273</v>
      </c>
      <c r="L20" s="36">
        <f>'Part-1'!L93</f>
        <v>0.34861551996841067</v>
      </c>
      <c r="M20" s="41">
        <f>'Part-1'!L116</f>
        <v>0.42027488241444522</v>
      </c>
      <c r="N20" s="36">
        <f>'Part-1'!L140</f>
        <v>0.46871894479612464</v>
      </c>
      <c r="O20" s="41">
        <f>'Part-1'!L164</f>
        <v>0.49963203227445541</v>
      </c>
      <c r="P20" s="36">
        <f>'Part-1'!L188</f>
        <v>0.51689799985670792</v>
      </c>
      <c r="Q20" s="10"/>
      <c r="R20" s="10"/>
      <c r="S20" s="10"/>
      <c r="T20" s="10"/>
      <c r="U20" s="10"/>
      <c r="V20" s="10"/>
      <c r="W20" s="10"/>
      <c r="X20" s="10"/>
      <c r="Y20" s="10"/>
    </row>
    <row r="21" spans="3:25">
      <c r="C21" s="45">
        <v>6</v>
      </c>
      <c r="D21" s="69" t="s">
        <v>51</v>
      </c>
      <c r="E21" s="70"/>
      <c r="F21" s="70"/>
      <c r="G21" s="70"/>
      <c r="H21" s="71"/>
      <c r="I21" s="33">
        <f>(('Part-2'!H24))</f>
        <v>1.8799999999999997E-2</v>
      </c>
      <c r="J21" s="38">
        <f>(('Part-2'!H52))</f>
        <v>8.6800000000000002E-2</v>
      </c>
      <c r="K21" s="43">
        <f>(('Part-2'!H80))</f>
        <v>0.20961999999999995</v>
      </c>
      <c r="L21" s="38">
        <f>(('Part-2'!H109))</f>
        <v>0.23713999999999999</v>
      </c>
      <c r="M21" s="43">
        <f>(('Part-2'!H137))</f>
        <v>0.25962666666666662</v>
      </c>
      <c r="N21" s="38">
        <f>(('Part-2'!H165))</f>
        <v>0.27539999999999998</v>
      </c>
      <c r="O21" s="43">
        <f>(('Part-2'!H193))</f>
        <v>0.28614666666666666</v>
      </c>
      <c r="P21" s="38">
        <f>(('Part-2'!H221))</f>
        <v>0.29789999999999994</v>
      </c>
      <c r="Q21" s="10"/>
      <c r="R21" s="10"/>
      <c r="S21" s="10"/>
      <c r="T21" s="10"/>
      <c r="U21" s="10"/>
      <c r="V21" s="10"/>
      <c r="W21" s="10"/>
      <c r="X21" s="10"/>
      <c r="Y21" s="10"/>
    </row>
    <row r="22" spans="3:25">
      <c r="C22" s="45">
        <v>7</v>
      </c>
      <c r="D22" s="69" t="s">
        <v>53</v>
      </c>
      <c r="E22" s="70"/>
      <c r="F22" s="70"/>
      <c r="G22" s="70"/>
      <c r="H22" s="71"/>
      <c r="I22" s="30">
        <f>(('Part-2'!H25))</f>
        <v>7.2666666666666669E-3</v>
      </c>
      <c r="J22" s="35">
        <f>(('Part-2'!H53))</f>
        <v>4.4053333333333333E-2</v>
      </c>
      <c r="K22" s="40">
        <f>(('Part-2'!H81))</f>
        <v>0.13098533333333331</v>
      </c>
      <c r="L22" s="35">
        <f>(('Part-2'!H110))</f>
        <v>0.14025333333333329</v>
      </c>
      <c r="M22" s="40">
        <f>(('Part-2'!H138))</f>
        <v>0.14636933333333332</v>
      </c>
      <c r="N22" s="35">
        <f>(('Part-2'!H166)/800000)*800000</f>
        <v>0.15071333333333328</v>
      </c>
      <c r="O22" s="40">
        <f>(('Part-2'!H194)/800000)*800000</f>
        <v>0.15445066666666663</v>
      </c>
      <c r="P22" s="35">
        <f>(('Part-2'!H222))</f>
        <v>0.15866666666666665</v>
      </c>
      <c r="Q22" s="10"/>
      <c r="R22" s="10"/>
      <c r="S22" s="10"/>
      <c r="T22" s="10"/>
      <c r="U22" s="10"/>
      <c r="V22" s="10"/>
      <c r="W22" s="10"/>
      <c r="X22" s="10"/>
      <c r="Y22" s="10"/>
    </row>
    <row r="23" spans="3:25">
      <c r="C23" s="45">
        <v>8</v>
      </c>
      <c r="D23" s="69" t="s">
        <v>52</v>
      </c>
      <c r="E23" s="70"/>
      <c r="F23" s="70"/>
      <c r="G23" s="70"/>
      <c r="H23" s="71"/>
      <c r="I23" s="32">
        <f>('Part-2'!H26)</f>
        <v>0.38652482269503552</v>
      </c>
      <c r="J23" s="37">
        <f>('Part-2'!H54)</f>
        <v>0.50752688172043003</v>
      </c>
      <c r="K23" s="42">
        <f>('Part-2'!H82)</f>
        <v>0.62487040040708586</v>
      </c>
      <c r="L23" s="37">
        <f>('Part-2'!H111)</f>
        <v>0.59143684462061785</v>
      </c>
      <c r="M23" s="42">
        <f>('Part-2'!H139)</f>
        <v>0.5637684880854561</v>
      </c>
      <c r="N23" s="37">
        <f>('Part-2'!H167)*80000</f>
        <v>43780.198499152742</v>
      </c>
      <c r="O23" s="42">
        <f>('Part-2'!H195)*80000</f>
        <v>43180.839662643855</v>
      </c>
      <c r="P23" s="37">
        <f>('Part-2'!H223)</f>
        <v>0.53261720935436951</v>
      </c>
      <c r="Q23" s="10"/>
      <c r="R23" s="10"/>
      <c r="S23" s="10"/>
      <c r="T23" s="10"/>
      <c r="U23" s="10"/>
      <c r="V23" s="10"/>
      <c r="W23" s="10"/>
      <c r="X23" s="10"/>
      <c r="Y23" s="10"/>
    </row>
    <row r="24" spans="3:25">
      <c r="C24" s="45">
        <v>9</v>
      </c>
      <c r="D24" s="69" t="s">
        <v>54</v>
      </c>
      <c r="E24" s="70"/>
      <c r="F24" s="70"/>
      <c r="G24" s="70"/>
      <c r="H24" s="71"/>
      <c r="I24" s="30">
        <f>(('Part-2'!H27))</f>
        <v>3.0418666666666666E-3</v>
      </c>
      <c r="J24" s="35">
        <f>(('Part-2'!H55))</f>
        <v>2.4634666666666669E-2</v>
      </c>
      <c r="K24" s="40">
        <f>(('Part-2'!H83))</f>
        <v>9.2613866666666669E-2</v>
      </c>
      <c r="L24" s="35">
        <f>(('Part-2'!H112))</f>
        <v>9.6760533333333315E-2</v>
      </c>
      <c r="M24" s="40">
        <f>(('Part-2'!H140))</f>
        <v>9.9498933333333331E-2</v>
      </c>
      <c r="N24" s="35">
        <f>(('Part-2'!H168)/540000000)*540000000</f>
        <v>0.10176133333333333</v>
      </c>
      <c r="O24" s="40">
        <f>(('Part-2'!H196)/540000000)*540000000</f>
        <v>0.10402053333333335</v>
      </c>
      <c r="P24" s="35">
        <f>(('Part-2'!H224))</f>
        <v>0.10649599999999999</v>
      </c>
      <c r="Q24" s="10"/>
      <c r="R24" s="10"/>
      <c r="S24" s="10"/>
      <c r="T24" s="10"/>
      <c r="U24" s="10"/>
      <c r="V24" s="10"/>
      <c r="W24" s="10"/>
      <c r="X24" s="10"/>
      <c r="Y24" s="10"/>
    </row>
    <row r="25" spans="3:25">
      <c r="C25" s="45">
        <v>10</v>
      </c>
      <c r="D25" s="69" t="s">
        <v>56</v>
      </c>
      <c r="E25" s="70"/>
      <c r="F25" s="70"/>
      <c r="G25" s="70"/>
      <c r="H25" s="71"/>
      <c r="I25" s="33">
        <f>(('Part-2'!H28))</f>
        <v>2.3311962174940842E-4</v>
      </c>
      <c r="J25" s="38">
        <f>(('Part-2'!H56))</f>
        <v>2.2764157706093267E-3</v>
      </c>
      <c r="K25" s="43">
        <f>(('Part-2'!H84))</f>
        <v>1.076500897921108E-2</v>
      </c>
      <c r="L25" s="38">
        <f>(('Part-2'!H113))</f>
        <v>1.380954441914295E-2</v>
      </c>
      <c r="M25" s="43">
        <f>(('Part-2'!H141))</f>
        <v>1.6980515577923849E-2</v>
      </c>
      <c r="N25" s="38">
        <f>(('Part-2'!H169)/110000000)*110000000</f>
        <v>1.9283087710804503E-2</v>
      </c>
      <c r="O25" s="43">
        <f>(('Part-2'!H197)/110000000)*110000000</f>
        <v>2.0654164919311047E-2</v>
      </c>
      <c r="P25" s="38">
        <f>(('Part-2'!H225))</f>
        <v>2.1987402782440046E-2</v>
      </c>
      <c r="Q25" s="10"/>
      <c r="R25" s="10"/>
      <c r="S25" s="10"/>
      <c r="T25" s="10"/>
      <c r="U25" s="10"/>
      <c r="V25" s="10"/>
      <c r="W25" s="10"/>
      <c r="X25" s="10"/>
      <c r="Y25" s="10"/>
    </row>
    <row r="26" spans="3:25">
      <c r="C26" s="45">
        <v>11</v>
      </c>
      <c r="D26" s="69" t="s">
        <v>55</v>
      </c>
      <c r="E26" s="70"/>
      <c r="F26" s="70"/>
      <c r="G26" s="70"/>
      <c r="H26" s="71"/>
      <c r="I26" s="30">
        <f>(('Part-2'!H29))</f>
        <v>3.9869442666666659E-6</v>
      </c>
      <c r="J26" s="35">
        <f>(('Part-2'!H57))</f>
        <v>1.9112826666666666E-4</v>
      </c>
      <c r="K26" s="40">
        <f>(('Part-2'!H85))</f>
        <v>1.2674799632666667E-3</v>
      </c>
      <c r="L26" s="35">
        <f>(('Part-2'!H114))</f>
        <v>1.5465912668666665E-3</v>
      </c>
      <c r="M26" s="40">
        <f>(('Part-2'!H142))</f>
        <v>1.7777555160888889E-3</v>
      </c>
      <c r="N26" s="35">
        <f>(('Part-2'!H170)/12000000)*12000000</f>
        <v>1.9708925166666662E-3</v>
      </c>
      <c r="O26" s="40">
        <f>(('Part-2'!H198)/12000000)*12000000</f>
        <v>2.1447785904888891E-3</v>
      </c>
      <c r="P26" s="35">
        <f>(('Part-2'!H226))</f>
        <v>2.3639497083333336E-3</v>
      </c>
    </row>
    <row r="27" spans="3:25" ht="15.6">
      <c r="C27" s="45">
        <v>12</v>
      </c>
      <c r="D27" s="69" t="s">
        <v>38</v>
      </c>
      <c r="E27" s="70"/>
      <c r="F27" s="70"/>
      <c r="G27" s="70"/>
      <c r="H27" s="71"/>
      <c r="I27" s="32">
        <f>(('Part-2'!K24))</f>
        <v>1.4024701797092811</v>
      </c>
      <c r="J27" s="37">
        <f>(('Part-2'!K52))</f>
        <v>1.7924767824992687</v>
      </c>
      <c r="K27" s="42">
        <f>(('Part-2'!K80))</f>
        <v>2.049965457595631</v>
      </c>
      <c r="L27" s="37">
        <f>(('Part-2'!K109))</f>
        <v>1.2732626712107766</v>
      </c>
      <c r="M27" s="42">
        <f>(('Part-2'!K137))</f>
        <v>0.99320926775217178</v>
      </c>
      <c r="N27" s="37">
        <f>(('Part-2'!K165)/28)*28</f>
        <v>0.80762809936275692</v>
      </c>
      <c r="O27" s="42">
        <f>(('Part-2'!K193)/28)*28</f>
        <v>0.66725300550677591</v>
      </c>
      <c r="P27" s="37">
        <f>(('Part-2'!K221))</f>
        <v>0.57726374728966512</v>
      </c>
    </row>
    <row r="28" spans="3:25">
      <c r="C28" s="45">
        <v>13</v>
      </c>
      <c r="D28" s="69" t="s">
        <v>39</v>
      </c>
      <c r="E28" s="70"/>
      <c r="F28" s="70"/>
      <c r="G28" s="70"/>
      <c r="H28" s="71"/>
      <c r="I28" s="30">
        <f>(('Part-2'!K25))</f>
        <v>4.8860545618588181E-6</v>
      </c>
      <c r="J28" s="35">
        <f>(('Part-2'!K53))</f>
        <v>3.1896084491272656E-5</v>
      </c>
      <c r="K28" s="40">
        <f>(('Part-2'!K81))</f>
        <v>1.1151222035059481E-4</v>
      </c>
      <c r="L28" s="35">
        <f>(('Part-2'!K110))</f>
        <v>1.3918174070424308E-4</v>
      </c>
      <c r="M28" s="40">
        <f>(('Part-2'!K138))</f>
        <v>1.6735604295549947E-4</v>
      </c>
      <c r="N28" s="35">
        <f>(('Part-2'!K166)/1100)*1100</f>
        <v>1.8620032881370337E-4</v>
      </c>
      <c r="O28" s="40">
        <f>(('Part-2'!K194)/1100)*1100</f>
        <v>1.9557061470941174E-4</v>
      </c>
      <c r="P28" s="35">
        <f>(('Part-2'!K222))</f>
        <v>2.0426240190694664E-4</v>
      </c>
    </row>
    <row r="29" spans="3:25" ht="15.6">
      <c r="C29" s="45">
        <v>14</v>
      </c>
      <c r="D29" s="69" t="s">
        <v>40</v>
      </c>
      <c r="E29" s="70"/>
      <c r="F29" s="70"/>
      <c r="G29" s="70"/>
      <c r="H29" s="71"/>
      <c r="I29" s="32">
        <f>(('Part-2'!K26))</f>
        <v>2.3985842119174063E-2</v>
      </c>
      <c r="J29" s="37">
        <f>(('Part-2'!K54))</f>
        <v>0.15049666449447729</v>
      </c>
      <c r="K29" s="42">
        <f>(('Part-2'!K82))</f>
        <v>0.24136441947321655</v>
      </c>
      <c r="L29" s="37">
        <f>(('Part-2'!K111))</f>
        <v>0.14259825436327644</v>
      </c>
      <c r="M29" s="42">
        <f>(('Part-2'!K139))</f>
        <v>0.10398290006415187</v>
      </c>
      <c r="N29" s="37">
        <f>(('Part-2'!K167)/3.5)*3.5</f>
        <v>8.254633288795904E-2</v>
      </c>
      <c r="O29" s="42">
        <f>(('Part-2'!K195)/3.5)*3.5</f>
        <v>6.9289170791516794E-2</v>
      </c>
      <c r="P29" s="37">
        <f>(('Part-2'!K223))</f>
        <v>6.2063831755820156E-2</v>
      </c>
    </row>
    <row r="30" spans="3:25">
      <c r="C30" s="45">
        <v>15</v>
      </c>
      <c r="D30" s="69" t="s">
        <v>41</v>
      </c>
      <c r="E30" s="70"/>
      <c r="F30" s="70"/>
      <c r="G30" s="70"/>
      <c r="H30" s="71"/>
      <c r="I30" s="32">
        <f>((('Part-2'!K27)))</f>
        <v>1.9269999999999997E-4</v>
      </c>
      <c r="J30" s="37">
        <f>((('Part-2'!K55)))</f>
        <v>8.8969999999999989E-4</v>
      </c>
      <c r="K30" s="42">
        <f>((('Part-2'!K83)))</f>
        <v>2.1486049999999992E-3</v>
      </c>
      <c r="L30" s="37">
        <f>((('Part-2'!K112)))</f>
        <v>2.4306849999999997E-3</v>
      </c>
      <c r="M30" s="42">
        <f>((('Part-2'!K140)))</f>
        <v>2.6611733333333325E-3</v>
      </c>
      <c r="N30" s="37">
        <f>((('Part-2'!K168)/16)*16)*50</f>
        <v>0.14114249999999998</v>
      </c>
      <c r="O30" s="42">
        <f>((('Part-2'!K196)/16)*16)*50</f>
        <v>0.14665016666666664</v>
      </c>
      <c r="P30" s="37">
        <f>((('Part-2'!K224)))</f>
        <v>3.0534749999999995E-3</v>
      </c>
    </row>
    <row r="31" spans="3:25" ht="15.6">
      <c r="C31" s="45">
        <v>16</v>
      </c>
      <c r="D31" s="69" t="s">
        <v>42</v>
      </c>
      <c r="E31" s="70"/>
      <c r="F31" s="70"/>
      <c r="G31" s="70"/>
      <c r="H31" s="71"/>
      <c r="I31" s="31">
        <f>'Part-2'!K28</f>
        <v>0.60444438957289681</v>
      </c>
      <c r="J31" s="36">
        <f>'Part-2'!K56</f>
        <v>0.61976390094193623</v>
      </c>
      <c r="K31" s="41">
        <f>'Part-2'!K84</f>
        <v>0.7087229127206649</v>
      </c>
      <c r="L31" s="36">
        <f>'Part-2'!K113</f>
        <v>0.76223728503897659</v>
      </c>
      <c r="M31" s="41">
        <f>'Part-2'!K141</f>
        <v>0.7977790669852538</v>
      </c>
      <c r="N31" s="36">
        <f>'Part-2'!K169</f>
        <v>0.81096581257891009</v>
      </c>
      <c r="O31" s="41">
        <f>'Part-2'!K197</f>
        <v>0.80827642518932963</v>
      </c>
      <c r="P31" s="36">
        <f>'Part-2'!K225</f>
        <v>0.80862045100304836</v>
      </c>
    </row>
    <row r="32" spans="3:25">
      <c r="C32" s="27">
        <v>17</v>
      </c>
      <c r="D32" s="69" t="s">
        <v>62</v>
      </c>
      <c r="E32" s="70"/>
      <c r="F32" s="70"/>
      <c r="G32" s="70"/>
      <c r="H32" s="71"/>
      <c r="I32" s="31">
        <f>'Part-1'!L21</f>
        <v>0.42864999999999998</v>
      </c>
      <c r="J32" s="36">
        <f>'Part-1'!L45</f>
        <v>0.33847149647427527</v>
      </c>
      <c r="K32" s="41">
        <f>'Part-1'!L70</f>
        <v>0.41776809072965093</v>
      </c>
      <c r="L32" s="36">
        <f>'Part-1'!L94</f>
        <v>0.55448338073289516</v>
      </c>
      <c r="M32" s="41">
        <f>'Part-1'!L117</f>
        <v>0.6325166713537006</v>
      </c>
      <c r="N32" s="36">
        <f>'Part-1'!L141</f>
        <v>0.68176487871967995</v>
      </c>
      <c r="O32" s="41">
        <f>'Part-1'!L165</f>
        <v>0.71444525615040522</v>
      </c>
      <c r="P32" s="36">
        <f>'Part-1'!L189</f>
        <v>0.7287754020303655</v>
      </c>
    </row>
    <row r="33" spans="3:16">
      <c r="C33" s="27">
        <v>18</v>
      </c>
      <c r="D33" s="69" t="s">
        <v>60</v>
      </c>
      <c r="E33" s="70"/>
      <c r="F33" s="70"/>
      <c r="G33" s="70"/>
      <c r="H33" s="71"/>
      <c r="I33" s="31">
        <f>'Part-1'!L22</f>
        <v>0.50699543713395245</v>
      </c>
      <c r="J33" s="36">
        <f>'Part-1'!L46</f>
        <v>0.53581206940414372</v>
      </c>
      <c r="K33" s="41">
        <f>'Part-1'!L71</f>
        <v>0.56665024570628608</v>
      </c>
      <c r="L33" s="36">
        <f>'Part-1'!L95</f>
        <v>0.62872131443799784</v>
      </c>
      <c r="M33" s="41">
        <f>'Part-1'!L118</f>
        <v>0.66444870380251098</v>
      </c>
      <c r="N33" s="36">
        <f>'Part-1'!L142</f>
        <v>0.68750820029972093</v>
      </c>
      <c r="O33" s="41">
        <f>'Part-1'!L166</f>
        <v>0.69932864410995921</v>
      </c>
      <c r="P33" s="36">
        <f>'Part-1'!L190</f>
        <v>0.70926927338193912</v>
      </c>
    </row>
    <row r="34" spans="3:16" ht="15" thickBot="1">
      <c r="C34" s="28">
        <v>19</v>
      </c>
      <c r="D34" s="89" t="s">
        <v>63</v>
      </c>
      <c r="E34" s="90"/>
      <c r="F34" s="90"/>
      <c r="G34" s="90"/>
      <c r="H34" s="91"/>
      <c r="I34" s="53">
        <f t="shared" ref="I34:P34" si="0">((I18+I29))</f>
        <v>0.77864500818389693</v>
      </c>
      <c r="J34" s="52">
        <f t="shared" si="0"/>
        <v>0.74619998578354119</v>
      </c>
      <c r="K34" s="54">
        <f t="shared" si="0"/>
        <v>0.64848931448033542</v>
      </c>
      <c r="L34" s="52">
        <f t="shared" si="0"/>
        <v>0.35376583108494197</v>
      </c>
      <c r="M34" s="54">
        <f t="shared" si="0"/>
        <v>0.24361405656718868</v>
      </c>
      <c r="N34" s="52">
        <f t="shared" si="0"/>
        <v>0.18565460090842997</v>
      </c>
      <c r="O34" s="54">
        <f t="shared" si="0"/>
        <v>0.15083936740969645</v>
      </c>
      <c r="P34" s="52">
        <f t="shared" si="0"/>
        <v>0.13012721502720576</v>
      </c>
    </row>
    <row r="36" spans="3:16">
      <c r="C36" s="73"/>
      <c r="D36" s="73"/>
      <c r="E36" s="10"/>
      <c r="F36" s="10"/>
      <c r="G36" s="10"/>
      <c r="H36" s="10"/>
      <c r="I36" s="10"/>
    </row>
    <row r="37" spans="3:16">
      <c r="C37" s="10"/>
      <c r="D37" s="10"/>
      <c r="E37" s="10"/>
      <c r="F37" s="10"/>
      <c r="G37" s="10"/>
      <c r="H37" s="10"/>
      <c r="I37" s="10"/>
      <c r="M37" s="22"/>
      <c r="N37" s="22"/>
      <c r="O37" s="22"/>
    </row>
    <row r="38" spans="3:16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2"/>
      <c r="N38" s="22"/>
      <c r="O38" s="22"/>
    </row>
    <row r="39" spans="3:16">
      <c r="C39" s="22"/>
      <c r="D39" s="22"/>
      <c r="E39" s="22"/>
      <c r="F39" s="22"/>
      <c r="G39" s="22"/>
      <c r="H39" s="22"/>
      <c r="I39" s="10"/>
      <c r="J39" s="10"/>
      <c r="K39" s="21"/>
      <c r="L39" s="22"/>
      <c r="M39" s="10"/>
    </row>
    <row r="40" spans="3:16">
      <c r="C40" s="22"/>
      <c r="D40" s="22"/>
      <c r="E40" s="22"/>
      <c r="F40" s="22"/>
      <c r="G40" s="22"/>
      <c r="H40" s="22"/>
      <c r="I40" s="10"/>
      <c r="J40" s="10"/>
      <c r="K40" s="21"/>
      <c r="L40" s="22"/>
      <c r="M40" s="10"/>
    </row>
    <row r="41" spans="3:16">
      <c r="C41" s="22"/>
      <c r="D41" s="22"/>
      <c r="E41" s="22"/>
      <c r="F41" s="22"/>
      <c r="G41" s="22"/>
      <c r="H41" s="22"/>
      <c r="I41" s="10"/>
      <c r="J41" s="10"/>
      <c r="K41" s="21"/>
      <c r="L41" s="10"/>
      <c r="M41" s="10"/>
    </row>
    <row r="42" spans="3:16">
      <c r="C42" s="22"/>
      <c r="D42" s="22"/>
      <c r="E42" s="22"/>
      <c r="F42" s="22"/>
      <c r="G42" s="22"/>
      <c r="H42" s="22"/>
      <c r="I42" s="10"/>
      <c r="J42" s="10"/>
      <c r="K42" s="24"/>
      <c r="L42" s="10"/>
      <c r="M42" s="10"/>
    </row>
    <row r="43" spans="3:16">
      <c r="C43" s="22"/>
      <c r="D43" s="22"/>
      <c r="E43" s="22"/>
      <c r="F43" s="22"/>
      <c r="G43" s="22"/>
      <c r="H43" s="22"/>
      <c r="I43" s="25"/>
      <c r="J43" s="10"/>
      <c r="K43" s="24"/>
      <c r="L43" s="25"/>
      <c r="M43" s="10"/>
    </row>
    <row r="44" spans="3:16">
      <c r="C44" s="22"/>
      <c r="D44" s="22"/>
      <c r="E44" s="22"/>
      <c r="F44" s="22"/>
      <c r="G44" s="22"/>
      <c r="H44" s="22"/>
      <c r="I44" s="10"/>
      <c r="J44" s="10"/>
      <c r="K44" s="10"/>
      <c r="L44" s="10"/>
      <c r="M44" s="10"/>
    </row>
    <row r="45" spans="3:16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58" spans="8:9">
      <c r="H58" s="72"/>
      <c r="I58" s="72"/>
    </row>
    <row r="59" spans="8:9">
      <c r="H59" s="72"/>
      <c r="I59" s="72"/>
    </row>
    <row r="60" spans="8:9">
      <c r="H60" s="72"/>
      <c r="I60" s="72"/>
    </row>
    <row r="61" spans="8:9">
      <c r="H61" s="72"/>
      <c r="I61" s="72"/>
    </row>
    <row r="62" spans="8:9">
      <c r="H62" s="72"/>
      <c r="I62" s="72"/>
    </row>
    <row r="63" spans="8:9">
      <c r="H63" s="72"/>
      <c r="I63" s="72"/>
    </row>
    <row r="73" spans="7:7">
      <c r="G73" t="s">
        <v>64</v>
      </c>
    </row>
  </sheetData>
  <mergeCells count="42">
    <mergeCell ref="D16:H16"/>
    <mergeCell ref="D17:H17"/>
    <mergeCell ref="D18:H18"/>
    <mergeCell ref="D19:H19"/>
    <mergeCell ref="D33:H33"/>
    <mergeCell ref="D32:H32"/>
    <mergeCell ref="D30:H30"/>
    <mergeCell ref="D29:H29"/>
    <mergeCell ref="D31:H31"/>
    <mergeCell ref="I14:I15"/>
    <mergeCell ref="C13:C15"/>
    <mergeCell ref="D13:H15"/>
    <mergeCell ref="I13:P13"/>
    <mergeCell ref="J14:J15"/>
    <mergeCell ref="L14:L15"/>
    <mergeCell ref="N14:N15"/>
    <mergeCell ref="O14:O15"/>
    <mergeCell ref="M14:M15"/>
    <mergeCell ref="K14:K15"/>
    <mergeCell ref="P14:P15"/>
    <mergeCell ref="C7:D7"/>
    <mergeCell ref="X7:X8"/>
    <mergeCell ref="V7:V8"/>
    <mergeCell ref="T7:T8"/>
    <mergeCell ref="R7:R8"/>
    <mergeCell ref="D21:H21"/>
    <mergeCell ref="D22:H22"/>
    <mergeCell ref="D23:H23"/>
    <mergeCell ref="D24:H24"/>
    <mergeCell ref="D20:H20"/>
    <mergeCell ref="D28:H28"/>
    <mergeCell ref="D27:H27"/>
    <mergeCell ref="D26:H26"/>
    <mergeCell ref="D25:H25"/>
    <mergeCell ref="H63:I63"/>
    <mergeCell ref="H58:I58"/>
    <mergeCell ref="H59:I59"/>
    <mergeCell ref="H60:I60"/>
    <mergeCell ref="H61:I61"/>
    <mergeCell ref="H62:I62"/>
    <mergeCell ref="C36:D36"/>
    <mergeCell ref="D34:H34"/>
  </mergeCells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Part-1</vt:lpstr>
      <vt:lpstr>Part-2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vignathrikorupuri@gmail.com</dc:creator>
  <cp:lastModifiedBy>HP</cp:lastModifiedBy>
  <dcterms:created xsi:type="dcterms:W3CDTF">2019-03-07T21:17:34Z</dcterms:created>
  <dcterms:modified xsi:type="dcterms:W3CDTF">2020-01-13T11:00:12Z</dcterms:modified>
</cp:coreProperties>
</file>