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nesky\Desktop\"/>
    </mc:Choice>
  </mc:AlternateContent>
  <xr:revisionPtr revIDLastSave="0" documentId="8_{C739297E-F761-4CFA-90D8-DF1AC7F3A40F}" xr6:coauthVersionLast="28" xr6:coauthVersionMax="28" xr10:uidLastSave="{00000000-0000-0000-0000-000000000000}"/>
  <bookViews>
    <workbookView xWindow="0" yWindow="0" windowWidth="20490" windowHeight="7530" activeTab="3" xr2:uid="{00000000-000D-0000-FFFF-FFFF00000000}"/>
  </bookViews>
  <sheets>
    <sheet name="EL SEGUNDO DCF" sheetId="1" r:id="rId1"/>
    <sheet name="AMBERLEY DCF" sheetId="5" r:id="rId2"/>
    <sheet name="AMBERLEY DEPRECIATION" sheetId="6" r:id="rId3"/>
    <sheet name="EL SEGUNDO DEPRECIATION" sheetId="2" r:id="rId4"/>
    <sheet name="Sheet1" sheetId="4" state="hidden" r:id="rId5"/>
    <sheet name="Sheet3" sheetId="3" state="hidden" r:id="rId6"/>
  </sheets>
  <calcPr calcId="171027" iterateCount="179"/>
</workbook>
</file>

<file path=xl/calcChain.xml><?xml version="1.0" encoding="utf-8"?>
<calcChain xmlns="http://schemas.openxmlformats.org/spreadsheetml/2006/main">
  <c r="G15" i="2" l="1"/>
  <c r="H10" i="2"/>
  <c r="I10" i="2" s="1"/>
  <c r="J10" i="2" s="1"/>
  <c r="K10" i="2" s="1"/>
  <c r="L10" i="2" s="1"/>
  <c r="M10" i="2" s="1"/>
  <c r="N10" i="2" s="1"/>
  <c r="O10" i="2" s="1"/>
  <c r="P10" i="2" s="1"/>
  <c r="Q10" i="2" s="1"/>
  <c r="D7" i="6"/>
  <c r="E7" i="6"/>
  <c r="F7" i="6" s="1"/>
  <c r="C8" i="6"/>
  <c r="D9" i="6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E9" i="6"/>
  <c r="F9" i="6"/>
  <c r="G9" i="6"/>
  <c r="H9" i="6"/>
  <c r="I9" i="6"/>
  <c r="J9" i="6"/>
  <c r="K9" i="6"/>
  <c r="L9" i="6"/>
  <c r="M9" i="6"/>
  <c r="N9" i="6"/>
  <c r="O9" i="6"/>
  <c r="P9" i="6"/>
  <c r="Q9" i="6"/>
  <c r="C10" i="6"/>
  <c r="C13" i="6"/>
  <c r="D13" i="6"/>
  <c r="C14" i="6"/>
  <c r="C16" i="6" s="1"/>
  <c r="D15" i="6"/>
  <c r="D16" i="6" s="1"/>
  <c r="G14" i="5"/>
  <c r="H14" i="5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G19" i="5"/>
  <c r="H19" i="5" s="1"/>
  <c r="I19" i="5" s="1"/>
  <c r="I33" i="5" s="1"/>
  <c r="I34" i="5" s="1"/>
  <c r="G20" i="5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AB20" i="5" s="1"/>
  <c r="AC20" i="5" s="1"/>
  <c r="AD20" i="5" s="1"/>
  <c r="AE20" i="5" s="1"/>
  <c r="AF20" i="5" s="1"/>
  <c r="G21" i="5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AB21" i="5" s="1"/>
  <c r="AC21" i="5" s="1"/>
  <c r="AD21" i="5" s="1"/>
  <c r="AE21" i="5" s="1"/>
  <c r="AF21" i="5" s="1"/>
  <c r="H29" i="5"/>
  <c r="H30" i="5" s="1"/>
  <c r="H45" i="5" s="1"/>
  <c r="F33" i="5"/>
  <c r="H33" i="5"/>
  <c r="H34" i="5" s="1"/>
  <c r="F35" i="5"/>
  <c r="F36" i="5" s="1"/>
  <c r="F46" i="5" s="1"/>
  <c r="F47" i="5" s="1"/>
  <c r="F61" i="5" s="1"/>
  <c r="H35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F45" i="5"/>
  <c r="G45" i="5"/>
  <c r="F48" i="5"/>
  <c r="G48" i="5"/>
  <c r="F50" i="5"/>
  <c r="G50" i="5"/>
  <c r="F51" i="5"/>
  <c r="G51" i="5"/>
  <c r="F52" i="5"/>
  <c r="G52" i="5"/>
  <c r="F56" i="5"/>
  <c r="C57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G56" i="5" l="1"/>
  <c r="E15" i="6"/>
  <c r="E16" i="6" s="1"/>
  <c r="G7" i="6"/>
  <c r="F13" i="6"/>
  <c r="E13" i="6"/>
  <c r="J19" i="5"/>
  <c r="I29" i="5"/>
  <c r="I30" i="5" s="1"/>
  <c r="I45" i="5" s="1"/>
  <c r="I35" i="5"/>
  <c r="I36" i="5" s="1"/>
  <c r="I46" i="5" s="1"/>
  <c r="H36" i="5"/>
  <c r="H46" i="5" s="1"/>
  <c r="H47" i="5" s="1"/>
  <c r="G35" i="5"/>
  <c r="G36" i="5" s="1"/>
  <c r="G46" i="5" s="1"/>
  <c r="G47" i="5" s="1"/>
  <c r="G61" i="5" s="1"/>
  <c r="G33" i="5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H60" i="1"/>
  <c r="F15" i="6" l="1"/>
  <c r="F16" i="6" s="1"/>
  <c r="H7" i="6"/>
  <c r="G13" i="6"/>
  <c r="H61" i="5"/>
  <c r="H63" i="5" s="1"/>
  <c r="I47" i="5"/>
  <c r="K19" i="5"/>
  <c r="J33" i="5"/>
  <c r="J34" i="5" s="1"/>
  <c r="J29" i="5"/>
  <c r="J30" i="5" s="1"/>
  <c r="J45" i="5" s="1"/>
  <c r="J35" i="5"/>
  <c r="F47" i="1"/>
  <c r="G27" i="1"/>
  <c r="F27" i="1"/>
  <c r="G39" i="1"/>
  <c r="J36" i="5" l="1"/>
  <c r="J46" i="5" s="1"/>
  <c r="J47" i="5" s="1"/>
  <c r="J61" i="5" s="1"/>
  <c r="G15" i="6"/>
  <c r="G16" i="6" s="1"/>
  <c r="I7" i="6"/>
  <c r="H13" i="6"/>
  <c r="L19" i="5"/>
  <c r="K29" i="5"/>
  <c r="K30" i="5" s="1"/>
  <c r="K45" i="5" s="1"/>
  <c r="K47" i="5" s="1"/>
  <c r="K33" i="5"/>
  <c r="K34" i="5" s="1"/>
  <c r="K36" i="5" s="1"/>
  <c r="K46" i="5" s="1"/>
  <c r="K35" i="5"/>
  <c r="I61" i="5"/>
  <c r="H65" i="5"/>
  <c r="H64" i="5"/>
  <c r="H48" i="5" s="1"/>
  <c r="H49" i="5" s="1"/>
  <c r="G40" i="1"/>
  <c r="H15" i="6" l="1"/>
  <c r="H16" i="6" s="1"/>
  <c r="J7" i="6"/>
  <c r="I13" i="6"/>
  <c r="K61" i="5"/>
  <c r="I63" i="5"/>
  <c r="L35" i="5"/>
  <c r="M19" i="5"/>
  <c r="L33" i="5"/>
  <c r="L34" i="5" s="1"/>
  <c r="L29" i="5"/>
  <c r="L30" i="5" s="1"/>
  <c r="L45" i="5" s="1"/>
  <c r="H50" i="5"/>
  <c r="H51" i="5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F32" i="1"/>
  <c r="I15" i="6" l="1"/>
  <c r="I16" i="6" s="1"/>
  <c r="K7" i="6"/>
  <c r="J13" i="6"/>
  <c r="H52" i="5"/>
  <c r="H56" i="5"/>
  <c r="I64" i="5"/>
  <c r="I48" i="5" s="1"/>
  <c r="I49" i="5" s="1"/>
  <c r="I65" i="5"/>
  <c r="J63" i="5" s="1"/>
  <c r="L36" i="5"/>
  <c r="L46" i="5" s="1"/>
  <c r="L47" i="5" s="1"/>
  <c r="M35" i="5"/>
  <c r="N19" i="5"/>
  <c r="M33" i="5"/>
  <c r="M34" i="5" s="1"/>
  <c r="M29" i="5"/>
  <c r="M30" i="5" s="1"/>
  <c r="M45" i="5" s="1"/>
  <c r="J15" i="6" l="1"/>
  <c r="J16" i="6"/>
  <c r="L7" i="6"/>
  <c r="K13" i="6"/>
  <c r="L61" i="5"/>
  <c r="I51" i="5"/>
  <c r="I50" i="5"/>
  <c r="M36" i="5"/>
  <c r="M46" i="5" s="1"/>
  <c r="M47" i="5" s="1"/>
  <c r="N29" i="5"/>
  <c r="N30" i="5" s="1"/>
  <c r="N45" i="5" s="1"/>
  <c r="N35" i="5"/>
  <c r="O19" i="5"/>
  <c r="N33" i="5"/>
  <c r="N34" i="5" s="1"/>
  <c r="J64" i="5"/>
  <c r="J48" i="5" s="1"/>
  <c r="J49" i="5" s="1"/>
  <c r="J65" i="5"/>
  <c r="K63" i="5" s="1"/>
  <c r="M7" i="6" l="1"/>
  <c r="L13" i="6"/>
  <c r="K15" i="6"/>
  <c r="K16" i="6" s="1"/>
  <c r="K64" i="5"/>
  <c r="K48" i="5" s="1"/>
  <c r="K49" i="5" s="1"/>
  <c r="K65" i="5"/>
  <c r="I52" i="5"/>
  <c r="J50" i="5"/>
  <c r="J52" i="5" s="1"/>
  <c r="J51" i="5"/>
  <c r="M61" i="5"/>
  <c r="N36" i="5"/>
  <c r="N46" i="5" s="1"/>
  <c r="N47" i="5" s="1"/>
  <c r="I56" i="5"/>
  <c r="J56" i="5" s="1"/>
  <c r="P19" i="5"/>
  <c r="O29" i="5"/>
  <c r="O30" i="5" s="1"/>
  <c r="O45" i="5" s="1"/>
  <c r="O33" i="5"/>
  <c r="O34" i="5" s="1"/>
  <c r="O35" i="5"/>
  <c r="L63" i="5"/>
  <c r="L15" i="6" l="1"/>
  <c r="L16" i="6" s="1"/>
  <c r="N7" i="6"/>
  <c r="M13" i="6"/>
  <c r="Q19" i="5"/>
  <c r="P33" i="5"/>
  <c r="P34" i="5" s="1"/>
  <c r="P29" i="5"/>
  <c r="P30" i="5" s="1"/>
  <c r="P45" i="5" s="1"/>
  <c r="P35" i="5"/>
  <c r="N61" i="5"/>
  <c r="O36" i="5"/>
  <c r="O46" i="5" s="1"/>
  <c r="L64" i="5"/>
  <c r="L48" i="5" s="1"/>
  <c r="L49" i="5" s="1"/>
  <c r="L65" i="5"/>
  <c r="M63" i="5" s="1"/>
  <c r="O47" i="5"/>
  <c r="K50" i="5"/>
  <c r="K51" i="5"/>
  <c r="M15" i="6" l="1"/>
  <c r="M16" i="6" s="1"/>
  <c r="O7" i="6"/>
  <c r="N13" i="6"/>
  <c r="M64" i="5"/>
  <c r="M48" i="5" s="1"/>
  <c r="M49" i="5" s="1"/>
  <c r="M65" i="5"/>
  <c r="L50" i="5"/>
  <c r="L52" i="5" s="1"/>
  <c r="L51" i="5"/>
  <c r="N63" i="5"/>
  <c r="P36" i="5"/>
  <c r="P46" i="5" s="1"/>
  <c r="P47" i="5" s="1"/>
  <c r="K52" i="5"/>
  <c r="O61" i="5"/>
  <c r="K56" i="5"/>
  <c r="L56" i="5" s="1"/>
  <c r="Q35" i="5"/>
  <c r="R19" i="5"/>
  <c r="Q33" i="5"/>
  <c r="Q34" i="5" s="1"/>
  <c r="Q36" i="5" s="1"/>
  <c r="Q46" i="5" s="1"/>
  <c r="Q29" i="5"/>
  <c r="Q30" i="5" s="1"/>
  <c r="Q45" i="5" s="1"/>
  <c r="Q47" i="5" s="1"/>
  <c r="N15" i="6" l="1"/>
  <c r="N16" i="6"/>
  <c r="P7" i="6"/>
  <c r="O13" i="6"/>
  <c r="P61" i="5"/>
  <c r="R35" i="5"/>
  <c r="S19" i="5"/>
  <c r="R33" i="5"/>
  <c r="R34" i="5" s="1"/>
  <c r="R29" i="5"/>
  <c r="R30" i="5" s="1"/>
  <c r="R45" i="5" s="1"/>
  <c r="Q61" i="5"/>
  <c r="N64" i="5"/>
  <c r="N48" i="5" s="1"/>
  <c r="N49" i="5" s="1"/>
  <c r="N65" i="5"/>
  <c r="O63" i="5" s="1"/>
  <c r="M51" i="5"/>
  <c r="M50" i="5"/>
  <c r="M56" i="5" s="1"/>
  <c r="F40" i="1"/>
  <c r="Q7" i="6" l="1"/>
  <c r="Q13" i="6" s="1"/>
  <c r="P13" i="6"/>
  <c r="O15" i="6"/>
  <c r="O16" i="6" s="1"/>
  <c r="O64" i="5"/>
  <c r="O48" i="5" s="1"/>
  <c r="O49" i="5" s="1"/>
  <c r="O65" i="5"/>
  <c r="N50" i="5"/>
  <c r="N52" i="5" s="1"/>
  <c r="N51" i="5"/>
  <c r="M52" i="5"/>
  <c r="R36" i="5"/>
  <c r="R46" i="5" s="1"/>
  <c r="R47" i="5" s="1"/>
  <c r="T19" i="5"/>
  <c r="S29" i="5"/>
  <c r="S30" i="5" s="1"/>
  <c r="S45" i="5" s="1"/>
  <c r="S33" i="5"/>
  <c r="S34" i="5" s="1"/>
  <c r="S36" i="5" s="1"/>
  <c r="S46" i="5" s="1"/>
  <c r="S35" i="5"/>
  <c r="P63" i="5"/>
  <c r="H12" i="1"/>
  <c r="I12" i="1" s="1"/>
  <c r="J12" i="1" s="1"/>
  <c r="K12" i="1" s="1"/>
  <c r="L12" i="1" s="1"/>
  <c r="M12" i="1" s="1"/>
  <c r="N12" i="1" s="1"/>
  <c r="O12" i="1" s="1"/>
  <c r="P12" i="1" s="1"/>
  <c r="Q12" i="1" s="1"/>
  <c r="S47" i="5" l="1"/>
  <c r="P15" i="6"/>
  <c r="P16" i="6" s="1"/>
  <c r="R61" i="5"/>
  <c r="P64" i="5"/>
  <c r="P48" i="5" s="1"/>
  <c r="P49" i="5" s="1"/>
  <c r="P65" i="5"/>
  <c r="Q63" i="5" s="1"/>
  <c r="T29" i="5"/>
  <c r="T30" i="5" s="1"/>
  <c r="T45" i="5" s="1"/>
  <c r="T35" i="5"/>
  <c r="U19" i="5"/>
  <c r="T33" i="5"/>
  <c r="T34" i="5" s="1"/>
  <c r="T36" i="5" s="1"/>
  <c r="T46" i="5" s="1"/>
  <c r="N56" i="5"/>
  <c r="S61" i="5"/>
  <c r="O50" i="5"/>
  <c r="O51" i="5"/>
  <c r="H39" i="1"/>
  <c r="I39" i="1"/>
  <c r="J39" i="1"/>
  <c r="K39" i="1"/>
  <c r="L39" i="1"/>
  <c r="M39" i="1"/>
  <c r="N39" i="1"/>
  <c r="O39" i="1"/>
  <c r="P39" i="1"/>
  <c r="Q39" i="1"/>
  <c r="F39" i="1"/>
  <c r="F41" i="1" s="1"/>
  <c r="F48" i="1" s="1"/>
  <c r="F34" i="1"/>
  <c r="F44" i="1" s="1"/>
  <c r="F28" i="1"/>
  <c r="F43" i="1" s="1"/>
  <c r="G18" i="1"/>
  <c r="G19" i="1"/>
  <c r="H19" i="1" s="1"/>
  <c r="G17" i="1"/>
  <c r="O56" i="5" l="1"/>
  <c r="Q15" i="6"/>
  <c r="Q16" i="6" s="1"/>
  <c r="Q64" i="5"/>
  <c r="Q48" i="5" s="1"/>
  <c r="Q49" i="5" s="1"/>
  <c r="Q65" i="5"/>
  <c r="R63" i="5" s="1"/>
  <c r="O52" i="5"/>
  <c r="V19" i="5"/>
  <c r="U33" i="5"/>
  <c r="U34" i="5" s="1"/>
  <c r="U36" i="5" s="1"/>
  <c r="U46" i="5" s="1"/>
  <c r="U29" i="5"/>
  <c r="U30" i="5" s="1"/>
  <c r="U45" i="5" s="1"/>
  <c r="U47" i="5" s="1"/>
  <c r="U35" i="5"/>
  <c r="P50" i="5"/>
  <c r="P52" i="5" s="1"/>
  <c r="P51" i="5"/>
  <c r="T47" i="5"/>
  <c r="G32" i="1"/>
  <c r="G34" i="1" s="1"/>
  <c r="G49" i="1"/>
  <c r="F45" i="1"/>
  <c r="F59" i="1" s="1"/>
  <c r="F61" i="1" s="1"/>
  <c r="F63" i="1" s="1"/>
  <c r="F54" i="1"/>
  <c r="H17" i="1"/>
  <c r="G28" i="1"/>
  <c r="G43" i="1" s="1"/>
  <c r="H18" i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I19" i="1"/>
  <c r="F49" i="1"/>
  <c r="G44" i="1"/>
  <c r="G41" i="1"/>
  <c r="G48" i="1" s="1"/>
  <c r="T61" i="5" l="1"/>
  <c r="V35" i="5"/>
  <c r="W19" i="5"/>
  <c r="V33" i="5"/>
  <c r="V34" i="5" s="1"/>
  <c r="V36" i="5" s="1"/>
  <c r="V46" i="5" s="1"/>
  <c r="V29" i="5"/>
  <c r="V30" i="5" s="1"/>
  <c r="V45" i="5" s="1"/>
  <c r="U61" i="5"/>
  <c r="R64" i="5"/>
  <c r="R48" i="5" s="1"/>
  <c r="R49" i="5" s="1"/>
  <c r="R65" i="5"/>
  <c r="S63" i="5" s="1"/>
  <c r="P56" i="5"/>
  <c r="Q51" i="5"/>
  <c r="Q50" i="5"/>
  <c r="Q52" i="5" s="1"/>
  <c r="I17" i="1"/>
  <c r="I27" i="1" s="1"/>
  <c r="I28" i="1" s="1"/>
  <c r="I43" i="1" s="1"/>
  <c r="H33" i="1"/>
  <c r="H31" i="1"/>
  <c r="H32" i="1" s="1"/>
  <c r="H34" i="1" s="1"/>
  <c r="H44" i="1" s="1"/>
  <c r="F62" i="1"/>
  <c r="F46" i="1" s="1"/>
  <c r="H27" i="1"/>
  <c r="H28" i="1" s="1"/>
  <c r="H43" i="1" s="1"/>
  <c r="G54" i="1"/>
  <c r="G50" i="1"/>
  <c r="H40" i="1"/>
  <c r="H41" i="1" s="1"/>
  <c r="I33" i="1"/>
  <c r="G45" i="1"/>
  <c r="G59" i="1" s="1"/>
  <c r="G61" i="1" s="1"/>
  <c r="J19" i="1"/>
  <c r="R12" i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V47" i="5" l="1"/>
  <c r="S65" i="5"/>
  <c r="S64" i="5"/>
  <c r="S48" i="5" s="1"/>
  <c r="S49" i="5" s="1"/>
  <c r="X19" i="5"/>
  <c r="W29" i="5"/>
  <c r="W30" i="5" s="1"/>
  <c r="W45" i="5" s="1"/>
  <c r="W33" i="5"/>
  <c r="W34" i="5" s="1"/>
  <c r="W36" i="5" s="1"/>
  <c r="W46" i="5" s="1"/>
  <c r="W35" i="5"/>
  <c r="Q56" i="5"/>
  <c r="V61" i="5"/>
  <c r="T63" i="5"/>
  <c r="R50" i="5"/>
  <c r="R52" i="5" s="1"/>
  <c r="R51" i="5"/>
  <c r="H45" i="1"/>
  <c r="H59" i="1" s="1"/>
  <c r="J17" i="1"/>
  <c r="I31" i="1"/>
  <c r="I32" i="1" s="1"/>
  <c r="I34" i="1" s="1"/>
  <c r="I44" i="1" s="1"/>
  <c r="I45" i="1" s="1"/>
  <c r="I59" i="1" s="1"/>
  <c r="I40" i="1"/>
  <c r="I41" i="1" s="1"/>
  <c r="G63" i="1"/>
  <c r="G62" i="1"/>
  <c r="G46" i="1" s="1"/>
  <c r="K19" i="1"/>
  <c r="C14" i="2"/>
  <c r="D15" i="2" s="1"/>
  <c r="C8" i="2"/>
  <c r="W47" i="5" l="1"/>
  <c r="T65" i="5"/>
  <c r="U63" i="5" s="1"/>
  <c r="T64" i="5"/>
  <c r="T48" i="5" s="1"/>
  <c r="T49" i="5" s="1"/>
  <c r="R56" i="5"/>
  <c r="X35" i="5"/>
  <c r="Y19" i="5"/>
  <c r="X33" i="5"/>
  <c r="X34" i="5" s="1"/>
  <c r="X36" i="5" s="1"/>
  <c r="X46" i="5" s="1"/>
  <c r="X29" i="5"/>
  <c r="X30" i="5" s="1"/>
  <c r="X45" i="5" s="1"/>
  <c r="S50" i="5"/>
  <c r="S52" i="5" s="1"/>
  <c r="S51" i="5"/>
  <c r="H61" i="1"/>
  <c r="H63" i="1" s="1"/>
  <c r="I61" i="1" s="1"/>
  <c r="I63" i="1" s="1"/>
  <c r="K17" i="1"/>
  <c r="J31" i="1"/>
  <c r="J32" i="1" s="1"/>
  <c r="J33" i="1"/>
  <c r="J27" i="1"/>
  <c r="J28" i="1" s="1"/>
  <c r="J43" i="1" s="1"/>
  <c r="J40" i="1"/>
  <c r="J41" i="1" s="1"/>
  <c r="K9" i="2"/>
  <c r="O9" i="2"/>
  <c r="L9" i="2"/>
  <c r="P9" i="2"/>
  <c r="I9" i="2"/>
  <c r="M9" i="2"/>
  <c r="Q9" i="2"/>
  <c r="J9" i="2"/>
  <c r="N9" i="2"/>
  <c r="F9" i="2"/>
  <c r="D9" i="2"/>
  <c r="C10" i="2"/>
  <c r="H9" i="2"/>
  <c r="E9" i="2"/>
  <c r="L19" i="1"/>
  <c r="C16" i="2"/>
  <c r="G9" i="2"/>
  <c r="D10" i="2"/>
  <c r="E10" i="2" s="1"/>
  <c r="F10" i="2" s="1"/>
  <c r="G10" i="2" s="1"/>
  <c r="D16" i="2"/>
  <c r="C55" i="1"/>
  <c r="X47" i="5" l="1"/>
  <c r="S56" i="5"/>
  <c r="T56" i="5" s="1"/>
  <c r="T50" i="5"/>
  <c r="T52" i="5" s="1"/>
  <c r="T51" i="5"/>
  <c r="Y29" i="5"/>
  <c r="Y30" i="5" s="1"/>
  <c r="Y45" i="5" s="1"/>
  <c r="Y35" i="5"/>
  <c r="Z19" i="5"/>
  <c r="Y33" i="5"/>
  <c r="Y34" i="5" s="1"/>
  <c r="U64" i="5"/>
  <c r="U48" i="5" s="1"/>
  <c r="U49" i="5" s="1"/>
  <c r="U65" i="5"/>
  <c r="V63" i="5" s="1"/>
  <c r="W61" i="5"/>
  <c r="J34" i="1"/>
  <c r="J44" i="1" s="1"/>
  <c r="J45" i="1" s="1"/>
  <c r="J59" i="1" s="1"/>
  <c r="J61" i="1" s="1"/>
  <c r="H62" i="1"/>
  <c r="H46" i="1" s="1"/>
  <c r="H47" i="1" s="1"/>
  <c r="H68" i="1"/>
  <c r="I65" i="1" s="1"/>
  <c r="L17" i="1"/>
  <c r="K31" i="1"/>
  <c r="K32" i="1" s="1"/>
  <c r="K33" i="1"/>
  <c r="K34" i="1" s="1"/>
  <c r="K44" i="1" s="1"/>
  <c r="K27" i="1"/>
  <c r="K28" i="1" s="1"/>
  <c r="K43" i="1" s="1"/>
  <c r="K40" i="1"/>
  <c r="K41" i="1" s="1"/>
  <c r="I62" i="1"/>
  <c r="I46" i="1" s="1"/>
  <c r="I47" i="1" s="1"/>
  <c r="I48" i="1" s="1"/>
  <c r="M19" i="1"/>
  <c r="N19" i="1" s="1"/>
  <c r="O19" i="1" s="1"/>
  <c r="E15" i="2"/>
  <c r="E16" i="2" s="1"/>
  <c r="Y36" i="5" l="1"/>
  <c r="Y46" i="5" s="1"/>
  <c r="W63" i="5"/>
  <c r="AA19" i="5"/>
  <c r="Z33" i="5"/>
  <c r="Z34" i="5" s="1"/>
  <c r="Z29" i="5"/>
  <c r="Z30" i="5" s="1"/>
  <c r="Z45" i="5" s="1"/>
  <c r="Z35" i="5"/>
  <c r="V65" i="5"/>
  <c r="V64" i="5"/>
  <c r="V48" i="5" s="1"/>
  <c r="V49" i="5" s="1"/>
  <c r="U51" i="5"/>
  <c r="U50" i="5"/>
  <c r="U52" i="5" s="1"/>
  <c r="Y47" i="5"/>
  <c r="X61" i="5"/>
  <c r="H48" i="1"/>
  <c r="H50" i="1" s="1"/>
  <c r="H49" i="1"/>
  <c r="I68" i="1"/>
  <c r="J65" i="1" s="1"/>
  <c r="K45" i="1"/>
  <c r="K59" i="1" s="1"/>
  <c r="M17" i="1"/>
  <c r="L31" i="1"/>
  <c r="L32" i="1" s="1"/>
  <c r="L27" i="1"/>
  <c r="L28" i="1" s="1"/>
  <c r="L43" i="1" s="1"/>
  <c r="L33" i="1"/>
  <c r="L40" i="1"/>
  <c r="L41" i="1" s="1"/>
  <c r="I50" i="1"/>
  <c r="J62" i="1"/>
  <c r="J46" i="1" s="1"/>
  <c r="J47" i="1" s="1"/>
  <c r="J48" i="1" s="1"/>
  <c r="J63" i="1"/>
  <c r="I49" i="1"/>
  <c r="P19" i="1"/>
  <c r="F15" i="2"/>
  <c r="F16" i="2" s="1"/>
  <c r="U56" i="5" l="1"/>
  <c r="V50" i="5"/>
  <c r="V52" i="5" s="1"/>
  <c r="V51" i="5"/>
  <c r="Z36" i="5"/>
  <c r="Z46" i="5" s="1"/>
  <c r="Z47" i="5" s="1"/>
  <c r="Y61" i="5"/>
  <c r="AB19" i="5"/>
  <c r="AA29" i="5"/>
  <c r="AA30" i="5" s="1"/>
  <c r="AA45" i="5" s="1"/>
  <c r="AA33" i="5"/>
  <c r="AA34" i="5" s="1"/>
  <c r="AA36" i="5" s="1"/>
  <c r="AA46" i="5" s="1"/>
  <c r="AA35" i="5"/>
  <c r="W64" i="5"/>
  <c r="W48" i="5" s="1"/>
  <c r="W49" i="5" s="1"/>
  <c r="W65" i="5"/>
  <c r="X63" i="5" s="1"/>
  <c r="V56" i="5"/>
  <c r="L34" i="1"/>
  <c r="L44" i="1" s="1"/>
  <c r="L45" i="1" s="1"/>
  <c r="L59" i="1" s="1"/>
  <c r="H54" i="1"/>
  <c r="I54" i="1" s="1"/>
  <c r="J54" i="1" s="1"/>
  <c r="K61" i="1"/>
  <c r="K63" i="1" s="1"/>
  <c r="J67" i="1"/>
  <c r="J66" i="1" s="1"/>
  <c r="N17" i="1"/>
  <c r="M31" i="1"/>
  <c r="M32" i="1" s="1"/>
  <c r="M33" i="1"/>
  <c r="M34" i="1" s="1"/>
  <c r="M44" i="1" s="1"/>
  <c r="M27" i="1"/>
  <c r="M28" i="1" s="1"/>
  <c r="M43" i="1" s="1"/>
  <c r="M40" i="1"/>
  <c r="M41" i="1" s="1"/>
  <c r="J50" i="1"/>
  <c r="J49" i="1"/>
  <c r="Q19" i="1"/>
  <c r="G16" i="2"/>
  <c r="H15" i="2" s="1"/>
  <c r="X65" i="5" l="1"/>
  <c r="X64" i="5"/>
  <c r="X48" i="5" s="1"/>
  <c r="X49" i="5" s="1"/>
  <c r="AA47" i="5"/>
  <c r="W50" i="5"/>
  <c r="W52" i="5" s="1"/>
  <c r="W51" i="5"/>
  <c r="AB35" i="5"/>
  <c r="AC19" i="5"/>
  <c r="AB33" i="5"/>
  <c r="AB34" i="5" s="1"/>
  <c r="AB36" i="5" s="1"/>
  <c r="AB46" i="5" s="1"/>
  <c r="AB29" i="5"/>
  <c r="AB30" i="5" s="1"/>
  <c r="AB45" i="5" s="1"/>
  <c r="Z61" i="5"/>
  <c r="Y63" i="5"/>
  <c r="L61" i="1"/>
  <c r="L62" i="1" s="1"/>
  <c r="L46" i="1" s="1"/>
  <c r="L47" i="1" s="1"/>
  <c r="L48" i="1" s="1"/>
  <c r="K62" i="1"/>
  <c r="K46" i="1" s="1"/>
  <c r="K47" i="1" s="1"/>
  <c r="K49" i="1" s="1"/>
  <c r="M45" i="1"/>
  <c r="M59" i="1" s="1"/>
  <c r="O17" i="1"/>
  <c r="N31" i="1"/>
  <c r="N32" i="1" s="1"/>
  <c r="N27" i="1"/>
  <c r="N28" i="1" s="1"/>
  <c r="N43" i="1" s="1"/>
  <c r="N33" i="1"/>
  <c r="N34" i="1" s="1"/>
  <c r="N44" i="1" s="1"/>
  <c r="N40" i="1"/>
  <c r="N41" i="1" s="1"/>
  <c r="R19" i="1"/>
  <c r="H16" i="2"/>
  <c r="I15" i="2" s="1"/>
  <c r="W56" i="5" l="1"/>
  <c r="AC35" i="5"/>
  <c r="AD19" i="5"/>
  <c r="AC33" i="5"/>
  <c r="AC34" i="5" s="1"/>
  <c r="AC29" i="5"/>
  <c r="AC30" i="5" s="1"/>
  <c r="AC45" i="5" s="1"/>
  <c r="AA61" i="5"/>
  <c r="X50" i="5"/>
  <c r="X52" i="5" s="1"/>
  <c r="X51" i="5"/>
  <c r="Y64" i="5"/>
  <c r="Y48" i="5" s="1"/>
  <c r="Y49" i="5" s="1"/>
  <c r="Y65" i="5"/>
  <c r="Z63" i="5" s="1"/>
  <c r="AB47" i="5"/>
  <c r="L63" i="1"/>
  <c r="M61" i="1" s="1"/>
  <c r="M62" i="1" s="1"/>
  <c r="M46" i="1" s="1"/>
  <c r="M47" i="1" s="1"/>
  <c r="K48" i="1"/>
  <c r="K54" i="1" s="1"/>
  <c r="L54" i="1" s="1"/>
  <c r="N45" i="1"/>
  <c r="N59" i="1" s="1"/>
  <c r="P17" i="1"/>
  <c r="O31" i="1"/>
  <c r="O32" i="1" s="1"/>
  <c r="O27" i="1"/>
  <c r="O28" i="1" s="1"/>
  <c r="O43" i="1" s="1"/>
  <c r="O33" i="1"/>
  <c r="O34" i="1" s="1"/>
  <c r="O44" i="1" s="1"/>
  <c r="O40" i="1"/>
  <c r="O41" i="1" s="1"/>
  <c r="L50" i="1"/>
  <c r="L49" i="1"/>
  <c r="S19" i="1"/>
  <c r="I16" i="2"/>
  <c r="J15" i="2" l="1"/>
  <c r="J16" i="2"/>
  <c r="Z64" i="5"/>
  <c r="Z48" i="5" s="1"/>
  <c r="Z49" i="5" s="1"/>
  <c r="Z65" i="5"/>
  <c r="AA63" i="5" s="1"/>
  <c r="AD29" i="5"/>
  <c r="AD30" i="5" s="1"/>
  <c r="AD45" i="5" s="1"/>
  <c r="AD35" i="5"/>
  <c r="AE19" i="5"/>
  <c r="AD33" i="5"/>
  <c r="AD34" i="5" s="1"/>
  <c r="Y51" i="5"/>
  <c r="Y50" i="5"/>
  <c r="Y52" i="5" s="1"/>
  <c r="AB61" i="5"/>
  <c r="AC36" i="5"/>
  <c r="AC46" i="5" s="1"/>
  <c r="AC47" i="5" s="1"/>
  <c r="X56" i="5"/>
  <c r="K50" i="1"/>
  <c r="M63" i="1"/>
  <c r="N61" i="1" s="1"/>
  <c r="N62" i="1" s="1"/>
  <c r="N46" i="1" s="1"/>
  <c r="N47" i="1" s="1"/>
  <c r="O45" i="1"/>
  <c r="O59" i="1" s="1"/>
  <c r="Q17" i="1"/>
  <c r="P31" i="1"/>
  <c r="P32" i="1" s="1"/>
  <c r="P33" i="1"/>
  <c r="P34" i="1" s="1"/>
  <c r="P44" i="1" s="1"/>
  <c r="P27" i="1"/>
  <c r="P28" i="1" s="1"/>
  <c r="P43" i="1" s="1"/>
  <c r="P40" i="1"/>
  <c r="P41" i="1" s="1"/>
  <c r="M48" i="1"/>
  <c r="M50" i="1" s="1"/>
  <c r="M49" i="1"/>
  <c r="T19" i="1"/>
  <c r="K15" i="2" l="1"/>
  <c r="K16" i="2"/>
  <c r="AA64" i="5"/>
  <c r="AA48" i="5" s="1"/>
  <c r="AA49" i="5" s="1"/>
  <c r="AA65" i="5"/>
  <c r="AC61" i="5"/>
  <c r="AB63" i="5"/>
  <c r="AD36" i="5"/>
  <c r="AD46" i="5" s="1"/>
  <c r="AD47" i="5" s="1"/>
  <c r="Y56" i="5"/>
  <c r="AF19" i="5"/>
  <c r="AE29" i="5"/>
  <c r="AE30" i="5" s="1"/>
  <c r="AE45" i="5" s="1"/>
  <c r="AE33" i="5"/>
  <c r="AE34" i="5" s="1"/>
  <c r="AE35" i="5"/>
  <c r="Z50" i="5"/>
  <c r="Z52" i="5" s="1"/>
  <c r="Z51" i="5"/>
  <c r="N63" i="1"/>
  <c r="O61" i="1" s="1"/>
  <c r="O62" i="1" s="1"/>
  <c r="O46" i="1" s="1"/>
  <c r="O47" i="1" s="1"/>
  <c r="P45" i="1"/>
  <c r="P59" i="1" s="1"/>
  <c r="R17" i="1"/>
  <c r="Q31" i="1"/>
  <c r="Q32" i="1" s="1"/>
  <c r="Q33" i="1"/>
  <c r="Q34" i="1" s="1"/>
  <c r="Q44" i="1" s="1"/>
  <c r="Q27" i="1"/>
  <c r="Q28" i="1" s="1"/>
  <c r="Q43" i="1" s="1"/>
  <c r="Q40" i="1"/>
  <c r="Q41" i="1" s="1"/>
  <c r="M54" i="1"/>
  <c r="N48" i="1"/>
  <c r="N50" i="1" s="1"/>
  <c r="N49" i="1"/>
  <c r="U19" i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L15" i="2" l="1"/>
  <c r="L16" i="2"/>
  <c r="AE36" i="5"/>
  <c r="AE46" i="5" s="1"/>
  <c r="AD61" i="5"/>
  <c r="AE47" i="5"/>
  <c r="Z56" i="5"/>
  <c r="AB64" i="5"/>
  <c r="AB48" i="5" s="1"/>
  <c r="AB49" i="5" s="1"/>
  <c r="AB65" i="5"/>
  <c r="AC63" i="5" s="1"/>
  <c r="AF33" i="5"/>
  <c r="AF34" i="5" s="1"/>
  <c r="AF29" i="5"/>
  <c r="AF30" i="5" s="1"/>
  <c r="AF45" i="5" s="1"/>
  <c r="AF35" i="5"/>
  <c r="AA50" i="5"/>
  <c r="AA52" i="5" s="1"/>
  <c r="AA51" i="5"/>
  <c r="O63" i="1"/>
  <c r="P61" i="1" s="1"/>
  <c r="Q45" i="1"/>
  <c r="Q59" i="1" s="1"/>
  <c r="S17" i="1"/>
  <c r="R40" i="1"/>
  <c r="R41" i="1" s="1"/>
  <c r="R33" i="1"/>
  <c r="R31" i="1"/>
  <c r="R32" i="1" s="1"/>
  <c r="R27" i="1"/>
  <c r="R28" i="1" s="1"/>
  <c r="R43" i="1" s="1"/>
  <c r="N54" i="1"/>
  <c r="O48" i="1"/>
  <c r="O50" i="1" s="1"/>
  <c r="O49" i="1"/>
  <c r="M15" i="2" l="1"/>
  <c r="M16" i="2"/>
  <c r="AC64" i="5"/>
  <c r="AC48" i="5" s="1"/>
  <c r="AC49" i="5" s="1"/>
  <c r="AC65" i="5"/>
  <c r="AF36" i="5"/>
  <c r="AF46" i="5" s="1"/>
  <c r="AA56" i="5"/>
  <c r="AE61" i="5"/>
  <c r="AB50" i="5"/>
  <c r="AB52" i="5" s="1"/>
  <c r="AB51" i="5"/>
  <c r="AD63" i="5"/>
  <c r="AF47" i="5"/>
  <c r="P63" i="1"/>
  <c r="Q61" i="1" s="1"/>
  <c r="P62" i="1"/>
  <c r="P46" i="1" s="1"/>
  <c r="P47" i="1" s="1"/>
  <c r="P48" i="1" s="1"/>
  <c r="P50" i="1" s="1"/>
  <c r="R34" i="1"/>
  <c r="R44" i="1" s="1"/>
  <c r="R45" i="1" s="1"/>
  <c r="R59" i="1" s="1"/>
  <c r="T17" i="1"/>
  <c r="S40" i="1"/>
  <c r="S41" i="1" s="1"/>
  <c r="S33" i="1"/>
  <c r="S31" i="1"/>
  <c r="S32" i="1" s="1"/>
  <c r="S27" i="1"/>
  <c r="S28" i="1" s="1"/>
  <c r="S43" i="1" s="1"/>
  <c r="O54" i="1"/>
  <c r="N15" i="2" l="1"/>
  <c r="N16" i="2"/>
  <c r="AB56" i="5"/>
  <c r="AF61" i="5"/>
  <c r="AD65" i="5"/>
  <c r="AE63" i="5" s="1"/>
  <c r="AD64" i="5"/>
  <c r="AD48" i="5" s="1"/>
  <c r="AD49" i="5" s="1"/>
  <c r="AC51" i="5"/>
  <c r="AC50" i="5"/>
  <c r="AC52" i="5" s="1"/>
  <c r="Q62" i="1"/>
  <c r="Q46" i="1" s="1"/>
  <c r="Q47" i="1" s="1"/>
  <c r="Q63" i="1"/>
  <c r="R61" i="1" s="1"/>
  <c r="R62" i="1" s="1"/>
  <c r="R46" i="1" s="1"/>
  <c r="R47" i="1" s="1"/>
  <c r="P49" i="1"/>
  <c r="S34" i="1"/>
  <c r="S44" i="1" s="1"/>
  <c r="S45" i="1" s="1"/>
  <c r="U17" i="1"/>
  <c r="T40" i="1"/>
  <c r="T41" i="1" s="1"/>
  <c r="T33" i="1"/>
  <c r="T31" i="1"/>
  <c r="T32" i="1" s="1"/>
  <c r="T27" i="1"/>
  <c r="T28" i="1" s="1"/>
  <c r="T43" i="1" s="1"/>
  <c r="P54" i="1"/>
  <c r="O15" i="2" l="1"/>
  <c r="O16" i="2"/>
  <c r="AE64" i="5"/>
  <c r="AE48" i="5" s="1"/>
  <c r="AE49" i="5" s="1"/>
  <c r="AE65" i="5"/>
  <c r="AF63" i="5" s="1"/>
  <c r="AD50" i="5"/>
  <c r="AD52" i="5" s="1"/>
  <c r="AD51" i="5"/>
  <c r="AC56" i="5"/>
  <c r="AD56" i="5" s="1"/>
  <c r="S59" i="1"/>
  <c r="S61" i="1" s="1"/>
  <c r="S62" i="1" s="1"/>
  <c r="S46" i="1" s="1"/>
  <c r="S47" i="1" s="1"/>
  <c r="T34" i="1"/>
  <c r="T44" i="1" s="1"/>
  <c r="T45" i="1" s="1"/>
  <c r="V17" i="1"/>
  <c r="U40" i="1"/>
  <c r="U41" i="1" s="1"/>
  <c r="U33" i="1"/>
  <c r="U31" i="1"/>
  <c r="U32" i="1" s="1"/>
  <c r="U27" i="1"/>
  <c r="U28" i="1" s="1"/>
  <c r="U43" i="1" s="1"/>
  <c r="Q48" i="1"/>
  <c r="Q49" i="1"/>
  <c r="R48" i="1"/>
  <c r="R50" i="1" s="1"/>
  <c r="R49" i="1"/>
  <c r="P16" i="2" l="1"/>
  <c r="P15" i="2"/>
  <c r="AF65" i="5"/>
  <c r="AF64" i="5"/>
  <c r="AF48" i="5" s="1"/>
  <c r="AF49" i="5" s="1"/>
  <c r="AE50" i="5"/>
  <c r="AE52" i="5" s="1"/>
  <c r="AE51" i="5"/>
  <c r="S49" i="1"/>
  <c r="S48" i="1"/>
  <c r="U34" i="1"/>
  <c r="U44" i="1" s="1"/>
  <c r="U45" i="1" s="1"/>
  <c r="U59" i="1" s="1"/>
  <c r="U61" i="1" s="1"/>
  <c r="U62" i="1" s="1"/>
  <c r="U46" i="1" s="1"/>
  <c r="U47" i="1" s="1"/>
  <c r="T59" i="1"/>
  <c r="T61" i="1" s="1"/>
  <c r="T62" i="1" s="1"/>
  <c r="T46" i="1" s="1"/>
  <c r="T47" i="1" s="1"/>
  <c r="W17" i="1"/>
  <c r="V31" i="1"/>
  <c r="V32" i="1" s="1"/>
  <c r="V40" i="1"/>
  <c r="V41" i="1" s="1"/>
  <c r="V33" i="1"/>
  <c r="V27" i="1"/>
  <c r="V28" i="1" s="1"/>
  <c r="V43" i="1" s="1"/>
  <c r="Q50" i="1"/>
  <c r="Q54" i="1"/>
  <c r="R54" i="1" s="1"/>
  <c r="S54" i="1" s="1"/>
  <c r="Q15" i="2" l="1"/>
  <c r="Q16" i="2" s="1"/>
  <c r="AF50" i="5"/>
  <c r="AF51" i="5"/>
  <c r="AE56" i="5"/>
  <c r="X17" i="1"/>
  <c r="W31" i="1"/>
  <c r="W32" i="1" s="1"/>
  <c r="W27" i="1"/>
  <c r="W28" i="1" s="1"/>
  <c r="W43" i="1" s="1"/>
  <c r="W40" i="1"/>
  <c r="W41" i="1" s="1"/>
  <c r="W33" i="1"/>
  <c r="W34" i="1" s="1"/>
  <c r="W44" i="1" s="1"/>
  <c r="T49" i="1"/>
  <c r="T48" i="1"/>
  <c r="U48" i="1"/>
  <c r="U50" i="1" s="1"/>
  <c r="U49" i="1"/>
  <c r="S50" i="1"/>
  <c r="V34" i="1"/>
  <c r="V44" i="1" s="1"/>
  <c r="V45" i="1" s="1"/>
  <c r="V59" i="1" s="1"/>
  <c r="V61" i="1" s="1"/>
  <c r="V62" i="1" s="1"/>
  <c r="V46" i="1" s="1"/>
  <c r="V47" i="1" s="1"/>
  <c r="AF56" i="5" l="1"/>
  <c r="AF52" i="5"/>
  <c r="C52" i="5" s="1"/>
  <c r="C53" i="5"/>
  <c r="C54" i="5"/>
  <c r="V48" i="1"/>
  <c r="V50" i="1" s="1"/>
  <c r="V49" i="1"/>
  <c r="T50" i="1"/>
  <c r="T54" i="1"/>
  <c r="U54" i="1" s="1"/>
  <c r="W45" i="1"/>
  <c r="W59" i="1" s="1"/>
  <c r="W61" i="1" s="1"/>
  <c r="W62" i="1" s="1"/>
  <c r="W46" i="1" s="1"/>
  <c r="W47" i="1" s="1"/>
  <c r="Y17" i="1"/>
  <c r="X33" i="1"/>
  <c r="X31" i="1"/>
  <c r="X32" i="1" s="1"/>
  <c r="X27" i="1"/>
  <c r="X28" i="1" s="1"/>
  <c r="X43" i="1" s="1"/>
  <c r="X40" i="1"/>
  <c r="X41" i="1" s="1"/>
  <c r="V54" i="1" l="1"/>
  <c r="W49" i="1"/>
  <c r="W48" i="1"/>
  <c r="Z17" i="1"/>
  <c r="Y33" i="1"/>
  <c r="Y31" i="1"/>
  <c r="Y32" i="1" s="1"/>
  <c r="Y27" i="1"/>
  <c r="Y28" i="1" s="1"/>
  <c r="Y43" i="1" s="1"/>
  <c r="Y40" i="1"/>
  <c r="Y41" i="1" s="1"/>
  <c r="X34" i="1"/>
  <c r="X44" i="1" s="1"/>
  <c r="X45" i="1" s="1"/>
  <c r="X59" i="1" s="1"/>
  <c r="X61" i="1" s="1"/>
  <c r="X62" i="1" s="1"/>
  <c r="X46" i="1" s="1"/>
  <c r="X47" i="1" s="1"/>
  <c r="X48" i="1" l="1"/>
  <c r="X50" i="1" s="1"/>
  <c r="X49" i="1"/>
  <c r="Y34" i="1"/>
  <c r="Y44" i="1" s="1"/>
  <c r="Y45" i="1" s="1"/>
  <c r="Y59" i="1" s="1"/>
  <c r="Y61" i="1" s="1"/>
  <c r="Y62" i="1" s="1"/>
  <c r="Y46" i="1" s="1"/>
  <c r="Y47" i="1" s="1"/>
  <c r="AA17" i="1"/>
  <c r="Z40" i="1"/>
  <c r="Z41" i="1" s="1"/>
  <c r="Z33" i="1"/>
  <c r="Z31" i="1"/>
  <c r="Z32" i="1" s="1"/>
  <c r="Z27" i="1"/>
  <c r="Z28" i="1" s="1"/>
  <c r="Z43" i="1" s="1"/>
  <c r="W50" i="1"/>
  <c r="W54" i="1"/>
  <c r="X54" i="1" l="1"/>
  <c r="Y48" i="1"/>
  <c r="Y49" i="1"/>
  <c r="AB17" i="1"/>
  <c r="AA40" i="1"/>
  <c r="AA41" i="1" s="1"/>
  <c r="AA33" i="1"/>
  <c r="AA31" i="1"/>
  <c r="AA32" i="1" s="1"/>
  <c r="AA27" i="1"/>
  <c r="AA28" i="1" s="1"/>
  <c r="AA43" i="1" s="1"/>
  <c r="Z34" i="1"/>
  <c r="Z44" i="1" s="1"/>
  <c r="Z45" i="1" s="1"/>
  <c r="Z59" i="1" s="1"/>
  <c r="Z61" i="1" s="1"/>
  <c r="Z62" i="1" s="1"/>
  <c r="Z46" i="1" s="1"/>
  <c r="Z47" i="1" s="1"/>
  <c r="Y54" i="1" l="1"/>
  <c r="AC17" i="1"/>
  <c r="AB40" i="1"/>
  <c r="AB41" i="1" s="1"/>
  <c r="AB33" i="1"/>
  <c r="AB31" i="1"/>
  <c r="AB32" i="1" s="1"/>
  <c r="AB27" i="1"/>
  <c r="AB28" i="1" s="1"/>
  <c r="AB43" i="1" s="1"/>
  <c r="Z48" i="1"/>
  <c r="Z50" i="1" s="1"/>
  <c r="Z49" i="1"/>
  <c r="AA34" i="1"/>
  <c r="AA44" i="1" s="1"/>
  <c r="AA45" i="1" s="1"/>
  <c r="AA59" i="1" s="1"/>
  <c r="AA61" i="1" s="1"/>
  <c r="AA62" i="1" s="1"/>
  <c r="AA46" i="1" s="1"/>
  <c r="AA47" i="1" s="1"/>
  <c r="Y50" i="1"/>
  <c r="AA48" i="1" l="1"/>
  <c r="AA49" i="1"/>
  <c r="AB34" i="1"/>
  <c r="AB44" i="1" s="1"/>
  <c r="AB45" i="1" s="1"/>
  <c r="AB59" i="1" s="1"/>
  <c r="AB61" i="1" s="1"/>
  <c r="AB62" i="1" s="1"/>
  <c r="AB46" i="1" s="1"/>
  <c r="AB47" i="1" s="1"/>
  <c r="AD17" i="1"/>
  <c r="AC40" i="1"/>
  <c r="AC41" i="1" s="1"/>
  <c r="AC33" i="1"/>
  <c r="AC31" i="1"/>
  <c r="AC32" i="1" s="1"/>
  <c r="AC27" i="1"/>
  <c r="AC28" i="1" s="1"/>
  <c r="AC43" i="1" s="1"/>
  <c r="Z54" i="1"/>
  <c r="AA54" i="1" l="1"/>
  <c r="AC34" i="1"/>
  <c r="AC44" i="1" s="1"/>
  <c r="AB48" i="1"/>
  <c r="AB50" i="1" s="1"/>
  <c r="AB49" i="1"/>
  <c r="AE17" i="1"/>
  <c r="AD27" i="1"/>
  <c r="AD28" i="1" s="1"/>
  <c r="AD43" i="1" s="1"/>
  <c r="AD40" i="1"/>
  <c r="AD41" i="1" s="1"/>
  <c r="AD33" i="1"/>
  <c r="AD31" i="1"/>
  <c r="AD32" i="1" s="1"/>
  <c r="AC45" i="1"/>
  <c r="AC59" i="1" s="1"/>
  <c r="AC61" i="1" s="1"/>
  <c r="AC62" i="1" s="1"/>
  <c r="AC46" i="1" s="1"/>
  <c r="AC47" i="1" s="1"/>
  <c r="AA50" i="1"/>
  <c r="AB54" i="1" l="1"/>
  <c r="AC48" i="1"/>
  <c r="AC50" i="1" s="1"/>
  <c r="AC49" i="1"/>
  <c r="AD34" i="1"/>
  <c r="AD44" i="1" s="1"/>
  <c r="AD45" i="1" s="1"/>
  <c r="AD59" i="1" s="1"/>
  <c r="AD61" i="1" s="1"/>
  <c r="AD62" i="1" s="1"/>
  <c r="AD46" i="1" s="1"/>
  <c r="AD47" i="1" s="1"/>
  <c r="AF17" i="1"/>
  <c r="AE31" i="1"/>
  <c r="AE32" i="1" s="1"/>
  <c r="AE27" i="1"/>
  <c r="AE28" i="1" s="1"/>
  <c r="AE43" i="1" s="1"/>
  <c r="AE40" i="1"/>
  <c r="AE41" i="1" s="1"/>
  <c r="AE33" i="1"/>
  <c r="AC54" i="1" l="1"/>
  <c r="AD48" i="1"/>
  <c r="AD50" i="1" s="1"/>
  <c r="AD49" i="1"/>
  <c r="AF33" i="1"/>
  <c r="AF31" i="1"/>
  <c r="AF32" i="1" s="1"/>
  <c r="AF27" i="1"/>
  <c r="AF28" i="1" s="1"/>
  <c r="AF43" i="1" s="1"/>
  <c r="AF40" i="1"/>
  <c r="AF41" i="1" s="1"/>
  <c r="AE34" i="1"/>
  <c r="AE44" i="1" s="1"/>
  <c r="AE45" i="1" s="1"/>
  <c r="AE59" i="1" s="1"/>
  <c r="AE61" i="1" s="1"/>
  <c r="AE62" i="1" s="1"/>
  <c r="AE46" i="1" s="1"/>
  <c r="AE47" i="1" s="1"/>
  <c r="AD54" i="1" l="1"/>
  <c r="AE48" i="1"/>
  <c r="AE50" i="1" s="1"/>
  <c r="AE49" i="1"/>
  <c r="AF34" i="1"/>
  <c r="AF44" i="1" s="1"/>
  <c r="AF45" i="1" s="1"/>
  <c r="AF59" i="1" s="1"/>
  <c r="AF61" i="1" s="1"/>
  <c r="AF62" i="1" s="1"/>
  <c r="AF46" i="1" s="1"/>
  <c r="AF47" i="1" s="1"/>
  <c r="AE54" i="1" l="1"/>
  <c r="AF48" i="1"/>
  <c r="AF49" i="1"/>
  <c r="AF50" i="1" l="1"/>
  <c r="C50" i="1" s="1"/>
  <c r="C51" i="1"/>
  <c r="C52" i="1"/>
  <c r="AF54" i="1"/>
</calcChain>
</file>

<file path=xl/sharedStrings.xml><?xml version="1.0" encoding="utf-8"?>
<sst xmlns="http://schemas.openxmlformats.org/spreadsheetml/2006/main" count="158" uniqueCount="69">
  <si>
    <t>Land</t>
  </si>
  <si>
    <t>CPI</t>
  </si>
  <si>
    <t>Sales Revenue</t>
  </si>
  <si>
    <t>Revenue</t>
  </si>
  <si>
    <t>Operating Costs</t>
  </si>
  <si>
    <t>Escalation/De-escalation factors</t>
  </si>
  <si>
    <t>Tax Payable</t>
  </si>
  <si>
    <t>Depreciation</t>
  </si>
  <si>
    <t>years</t>
  </si>
  <si>
    <t>Construction Costs</t>
  </si>
  <si>
    <t>Taxable Income</t>
  </si>
  <si>
    <t>Tax Expense</t>
  </si>
  <si>
    <t>Carried Forward Loss</t>
  </si>
  <si>
    <t>Cashflow from operations</t>
  </si>
  <si>
    <t>Total capital costs</t>
  </si>
  <si>
    <t>IRR</t>
  </si>
  <si>
    <t>Net Cashflow (nominal after tax)</t>
  </si>
  <si>
    <t>Net Cashflow (real after tax)</t>
  </si>
  <si>
    <t>..or using the NPV formula</t>
  </si>
  <si>
    <t>Cashflows $'000</t>
  </si>
  <si>
    <t>Tax Calculation $'000</t>
  </si>
  <si>
    <t>Calculations</t>
  </si>
  <si>
    <t>Operating Margin</t>
  </si>
  <si>
    <t>Tax Expense Calc</t>
  </si>
  <si>
    <t>ENGG4900 Engineering Financial Model</t>
  </si>
  <si>
    <t>Assumptions</t>
  </si>
  <si>
    <t>Financial years are calendar years</t>
  </si>
  <si>
    <t>Variable Costs</t>
  </si>
  <si>
    <t>Fixed Costs</t>
  </si>
  <si>
    <t>Payback Period</t>
  </si>
  <si>
    <t>(approx)</t>
  </si>
  <si>
    <t>or</t>
  </si>
  <si>
    <t>New Factory Machine</t>
  </si>
  <si>
    <t>Depreciation Rate</t>
  </si>
  <si>
    <t>Straight Line Method</t>
  </si>
  <si>
    <t>Installed Value</t>
  </si>
  <si>
    <t>Asset Purchase</t>
  </si>
  <si>
    <t>Written Down Value</t>
  </si>
  <si>
    <t>Diminishing Value Method</t>
  </si>
  <si>
    <t xml:space="preserve">Final years operations </t>
  </si>
  <si>
    <t xml:space="preserve">First year operations </t>
  </si>
  <si>
    <t>Land Cost</t>
  </si>
  <si>
    <t>Units per year</t>
  </si>
  <si>
    <t>Unit Sale price</t>
  </si>
  <si>
    <t>/unit</t>
  </si>
  <si>
    <t>Depreciation Schedule</t>
  </si>
  <si>
    <t>$</t>
  </si>
  <si>
    <t>Discount factor (nom. After tax)</t>
  </si>
  <si>
    <t>Total Operating Costs</t>
  </si>
  <si>
    <t>Cells with blue font are input.</t>
  </si>
  <si>
    <t>Carried forward loss</t>
  </si>
  <si>
    <t>Present value of cashflows (nom)</t>
  </si>
  <si>
    <t>Cumulative Cashflow</t>
  </si>
  <si>
    <t>Plant</t>
  </si>
  <si>
    <t xml:space="preserve">Variable Costs </t>
  </si>
  <si>
    <t>Straight line over 15 years</t>
  </si>
  <si>
    <t>Year</t>
  </si>
  <si>
    <t>Capex (30% in Year 1 and 70% In Year 2)</t>
  </si>
  <si>
    <t>Net Cashflow</t>
  </si>
  <si>
    <t xml:space="preserve"> </t>
  </si>
  <si>
    <t xml:space="preserve">12.5 years </t>
  </si>
  <si>
    <t xml:space="preserve">Tax Calculation </t>
  </si>
  <si>
    <t>13 years from start-up (approx)</t>
  </si>
  <si>
    <t>-</t>
  </si>
  <si>
    <t>Capex (30% 2019 70 % 2020)</t>
  </si>
  <si>
    <t>Land cost is fixed while the facility insurance and labor cost increase as per CPI</t>
  </si>
  <si>
    <t>Land cost is excluded from Capex since land is leased</t>
  </si>
  <si>
    <r>
      <t xml:space="preserve">All values are approximately </t>
    </r>
    <r>
      <rPr>
        <b/>
        <sz val="11"/>
        <color theme="4"/>
        <rFont val="Calibri"/>
        <family val="2"/>
      </rPr>
      <t>±10%</t>
    </r>
  </si>
  <si>
    <t>All values are approximately ±10%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</si>
</sst>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  <numFmt numFmtId="167" formatCode="_-* #,##0_-;\-* #,##0_-;_-* &quot;-&quot;??_-;_-@_-"/>
    <numFmt numFmtId="168" formatCode="_-&quot;$&quot;* #,##0_-;\-&quot;$&quot;* #,##0_-;_-&quot;$&quot;* &quot;-&quot;??_-;_-@_-"/>
    <numFmt numFmtId="169" formatCode="_(* #,##0_);_(* \(#,##0\);_(* &quot;-&quot;??_);_(@_)"/>
    <numFmt numFmtId="170" formatCode="_-* #,##0.0_-;\-* #,##0.0_-;_-* &quot;-&quot;??_-;_-@_-"/>
    <numFmt numFmtId="171" formatCode="_-* #,##0.000_-;\-* #,##0.000_-;_-* &quot;-&quot;??_-;_-@_-"/>
    <numFmt numFmtId="172" formatCode="[$$-409]#,##0_);\([$$-409]#,##0\)"/>
    <numFmt numFmtId="173" formatCode="[$$-409]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166" fontId="3" fillId="0" borderId="0" xfId="3" applyNumberFormat="1" applyFont="1" applyAlignment="1">
      <alignment horizontal="center"/>
    </xf>
    <xf numFmtId="168" fontId="0" fillId="0" borderId="0" xfId="2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8" fontId="3" fillId="0" borderId="0" xfId="2" applyNumberFormat="1" applyFont="1"/>
    <xf numFmtId="0" fontId="2" fillId="2" borderId="0" xfId="0" applyFont="1" applyFill="1"/>
    <xf numFmtId="0" fontId="0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9" fontId="3" fillId="0" borderId="0" xfId="3" applyFont="1" applyAlignment="1">
      <alignment horizontal="center"/>
    </xf>
    <xf numFmtId="0" fontId="5" fillId="0" borderId="0" xfId="0" applyFont="1"/>
    <xf numFmtId="0" fontId="0" fillId="0" borderId="0" xfId="0" applyFill="1"/>
    <xf numFmtId="0" fontId="2" fillId="0" borderId="0" xfId="0" applyFont="1" applyFill="1" applyAlignment="1">
      <alignment horizontal="center"/>
    </xf>
    <xf numFmtId="168" fontId="3" fillId="0" borderId="0" xfId="2" applyNumberFormat="1" applyFont="1" applyFill="1"/>
    <xf numFmtId="168" fontId="0" fillId="0" borderId="0" xfId="2" applyNumberFormat="1" applyFont="1" applyFill="1"/>
    <xf numFmtId="169" fontId="0" fillId="0" borderId="0" xfId="1" applyNumberFormat="1" applyFont="1" applyFill="1" applyAlignment="1">
      <alignment horizontal="center"/>
    </xf>
    <xf numFmtId="169" fontId="0" fillId="0" borderId="1" xfId="1" applyNumberFormat="1" applyFont="1" applyFill="1" applyBorder="1" applyAlignment="1">
      <alignment horizontal="center"/>
    </xf>
    <xf numFmtId="168" fontId="6" fillId="0" borderId="0" xfId="2" applyNumberFormat="1" applyFont="1" applyFill="1" applyAlignment="1">
      <alignment horizontal="center"/>
    </xf>
    <xf numFmtId="10" fontId="6" fillId="0" borderId="0" xfId="3" applyNumberFormat="1" applyFont="1" applyFill="1" applyAlignment="1">
      <alignment horizontal="center"/>
    </xf>
    <xf numFmtId="0" fontId="0" fillId="0" borderId="1" xfId="0" applyFill="1" applyBorder="1"/>
    <xf numFmtId="168" fontId="0" fillId="0" borderId="1" xfId="2" applyNumberFormat="1" applyFont="1" applyFill="1" applyBorder="1"/>
    <xf numFmtId="168" fontId="0" fillId="0" borderId="1" xfId="0" applyNumberFormat="1" applyFill="1" applyBorder="1"/>
    <xf numFmtId="0" fontId="2" fillId="0" borderId="2" xfId="0" applyFont="1" applyBorder="1" applyAlignment="1">
      <alignment horizontal="center"/>
    </xf>
    <xf numFmtId="0" fontId="4" fillId="0" borderId="0" xfId="0" applyFont="1" applyFill="1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 applyAlignment="1">
      <alignment horizontal="right"/>
    </xf>
    <xf numFmtId="170" fontId="2" fillId="0" borderId="0" xfId="0" applyNumberFormat="1" applyFont="1" applyFill="1" applyBorder="1" applyAlignment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2" fillId="0" borderId="4" xfId="0" applyFont="1" applyBorder="1"/>
    <xf numFmtId="168" fontId="0" fillId="0" borderId="2" xfId="2" applyNumberFormat="1" applyFont="1" applyBorder="1"/>
    <xf numFmtId="168" fontId="0" fillId="0" borderId="2" xfId="0" applyNumberFormat="1" applyBorder="1"/>
    <xf numFmtId="0" fontId="0" fillId="0" borderId="6" xfId="0" applyBorder="1"/>
    <xf numFmtId="168" fontId="0" fillId="0" borderId="7" xfId="0" applyNumberFormat="1" applyBorder="1"/>
    <xf numFmtId="0" fontId="0" fillId="0" borderId="9" xfId="0" applyBorder="1"/>
    <xf numFmtId="168" fontId="0" fillId="0" borderId="9" xfId="2" applyNumberFormat="1" applyFont="1" applyBorder="1"/>
    <xf numFmtId="0" fontId="0" fillId="0" borderId="10" xfId="0" applyBorder="1"/>
    <xf numFmtId="9" fontId="0" fillId="0" borderId="0" xfId="0" applyNumberFormat="1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/>
    <xf numFmtId="0" fontId="0" fillId="0" borderId="14" xfId="0" applyBorder="1"/>
    <xf numFmtId="0" fontId="0" fillId="0" borderId="3" xfId="0" applyBorder="1"/>
    <xf numFmtId="0" fontId="2" fillId="0" borderId="15" xfId="0" applyFont="1" applyBorder="1"/>
    <xf numFmtId="165" fontId="6" fillId="0" borderId="1" xfId="1" applyFont="1" applyFill="1" applyBorder="1" applyAlignment="1">
      <alignment horizontal="left"/>
    </xf>
    <xf numFmtId="0" fontId="4" fillId="3" borderId="0" xfId="0" applyFont="1" applyFill="1"/>
    <xf numFmtId="0" fontId="0" fillId="3" borderId="0" xfId="0" applyFill="1"/>
    <xf numFmtId="0" fontId="10" fillId="3" borderId="0" xfId="0" applyFont="1" applyFill="1"/>
    <xf numFmtId="0" fontId="0" fillId="0" borderId="0" xfId="0" applyFont="1" applyBorder="1"/>
    <xf numFmtId="171" fontId="11" fillId="0" borderId="0" xfId="1" applyNumberFormat="1" applyFont="1" applyFill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69" fontId="0" fillId="0" borderId="0" xfId="1" applyNumberFormat="1" applyFont="1" applyFill="1" applyBorder="1" applyAlignment="1">
      <alignment horizontal="center"/>
    </xf>
    <xf numFmtId="167" fontId="8" fillId="0" borderId="0" xfId="1" applyNumberFormat="1" applyFont="1" applyFill="1" applyBorder="1"/>
    <xf numFmtId="0" fontId="9" fillId="0" borderId="0" xfId="0" applyFont="1" applyFill="1"/>
    <xf numFmtId="168" fontId="9" fillId="0" borderId="0" xfId="2" applyNumberFormat="1" applyFont="1" applyFill="1"/>
    <xf numFmtId="0" fontId="9" fillId="0" borderId="0" xfId="0" applyFont="1" applyFill="1" applyBorder="1"/>
    <xf numFmtId="0" fontId="9" fillId="0" borderId="1" xfId="0" applyFont="1" applyFill="1" applyBorder="1"/>
    <xf numFmtId="168" fontId="9" fillId="0" borderId="1" xfId="0" applyNumberFormat="1" applyFont="1" applyFill="1" applyBorder="1"/>
    <xf numFmtId="169" fontId="9" fillId="0" borderId="0" xfId="1" applyNumberFormat="1" applyFont="1" applyFill="1" applyAlignment="1">
      <alignment horizontal="center"/>
    </xf>
    <xf numFmtId="165" fontId="9" fillId="0" borderId="0" xfId="1" applyFont="1" applyFill="1"/>
    <xf numFmtId="170" fontId="9" fillId="0" borderId="0" xfId="1" applyNumberFormat="1" applyFont="1" applyFill="1"/>
    <xf numFmtId="168" fontId="9" fillId="0" borderId="1" xfId="2" applyNumberFormat="1" applyFont="1" applyFill="1" applyBorder="1"/>
    <xf numFmtId="0" fontId="8" fillId="0" borderId="0" xfId="0" applyFont="1" applyAlignment="1">
      <alignment horizontal="left"/>
    </xf>
    <xf numFmtId="165" fontId="1" fillId="0" borderId="0" xfId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8" fontId="11" fillId="0" borderId="1" xfId="2" applyNumberFormat="1" applyFont="1" applyFill="1" applyBorder="1"/>
    <xf numFmtId="168" fontId="11" fillId="0" borderId="0" xfId="0" applyNumberFormat="1" applyFont="1" applyFill="1"/>
    <xf numFmtId="169" fontId="11" fillId="0" borderId="0" xfId="1" applyNumberFormat="1" applyFont="1" applyFill="1" applyAlignment="1">
      <alignment horizontal="center"/>
    </xf>
    <xf numFmtId="169" fontId="11" fillId="0" borderId="1" xfId="1" applyNumberFormat="1" applyFont="1" applyFill="1" applyBorder="1" applyAlignment="1">
      <alignment horizontal="center"/>
    </xf>
    <xf numFmtId="168" fontId="11" fillId="0" borderId="0" xfId="2" applyNumberFormat="1" applyFont="1" applyFill="1" applyAlignment="1">
      <alignment horizontal="center"/>
    </xf>
    <xf numFmtId="168" fontId="11" fillId="0" borderId="1" xfId="2" applyNumberFormat="1" applyFont="1" applyFill="1" applyBorder="1" applyAlignment="1">
      <alignment horizontal="center"/>
    </xf>
    <xf numFmtId="168" fontId="11" fillId="0" borderId="0" xfId="2" applyNumberFormat="1" applyFont="1" applyFill="1"/>
    <xf numFmtId="165" fontId="11" fillId="0" borderId="0" xfId="1" applyFont="1" applyFill="1"/>
    <xf numFmtId="167" fontId="11" fillId="4" borderId="1" xfId="1" applyNumberFormat="1" applyFont="1" applyFill="1" applyBorder="1" applyAlignment="1">
      <alignment horizontal="center"/>
    </xf>
    <xf numFmtId="167" fontId="11" fillId="0" borderId="0" xfId="1" applyNumberFormat="1" applyFont="1" applyFill="1" applyAlignment="1">
      <alignment horizontal="center"/>
    </xf>
    <xf numFmtId="168" fontId="0" fillId="0" borderId="16" xfId="2" applyNumberFormat="1" applyFont="1" applyBorder="1"/>
    <xf numFmtId="172" fontId="3" fillId="0" borderId="0" xfId="2" applyNumberFormat="1" applyFont="1"/>
    <xf numFmtId="173" fontId="0" fillId="0" borderId="0" xfId="0" applyNumberFormat="1"/>
    <xf numFmtId="43" fontId="0" fillId="0" borderId="0" xfId="1" applyNumberFormat="1" applyFont="1" applyFill="1" applyAlignment="1">
      <alignment horizontal="center"/>
    </xf>
    <xf numFmtId="3" fontId="0" fillId="0" borderId="1" xfId="2" applyNumberFormat="1" applyFont="1" applyFill="1" applyBorder="1"/>
    <xf numFmtId="168" fontId="0" fillId="0" borderId="8" xfId="0" applyNumberFormat="1" applyBorder="1"/>
    <xf numFmtId="168" fontId="0" fillId="0" borderId="5" xfId="2" applyNumberFormat="1" applyFont="1" applyBorder="1"/>
    <xf numFmtId="168" fontId="0" fillId="0" borderId="5" xfId="0" applyNumberFormat="1" applyBorder="1"/>
    <xf numFmtId="168" fontId="0" fillId="0" borderId="9" xfId="2" applyNumberFormat="1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Revenue and Cashflow of Facilities in El Segundo,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36384612762582E-2"/>
          <c:y val="0.11511483550589696"/>
          <c:w val="0.88604859707221917"/>
          <c:h val="0.78486892506312356"/>
        </c:manualLayout>
      </c:layout>
      <c:lineChart>
        <c:grouping val="standard"/>
        <c:varyColors val="0"/>
        <c:ser>
          <c:idx val="0"/>
          <c:order val="0"/>
          <c:tx>
            <c:v>Sales 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Sheet3!$A$2:$A$28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cat>
          <c:val>
            <c:numRef>
              <c:f>Sheet3!$B$2:$B$28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 formatCode="[$$-409]#,##0.00">
                  <c:v>135.30666537297401</c:v>
                </c:pt>
                <c:pt idx="3" formatCode="[$$-409]#,##0.00">
                  <c:v>208.03399801094699</c:v>
                </c:pt>
                <c:pt idx="4" formatCode="[$$-409]#,##0.00">
                  <c:v>284.31313061496098</c:v>
                </c:pt>
                <c:pt idx="5" formatCode="[$$-409]#,##0.00">
                  <c:v>364.27619860041801</c:v>
                </c:pt>
                <c:pt idx="6" formatCode="[$$-409]#,##0.00">
                  <c:v>373.383103565429</c:v>
                </c:pt>
                <c:pt idx="7" formatCode="[$$-409]#,##0.00">
                  <c:v>382.71768115456501</c:v>
                </c:pt>
                <c:pt idx="8" formatCode="[$$-409]#,##0.00">
                  <c:v>392.28562318342898</c:v>
                </c:pt>
                <c:pt idx="9" formatCode="[$$-409]#,##0.00">
                  <c:v>402.09276376301398</c:v>
                </c:pt>
                <c:pt idx="10" formatCode="[$$-409]#,##0.00">
                  <c:v>412.14508285709002</c:v>
                </c:pt>
                <c:pt idx="11" formatCode="[$$-409]#,##0.00">
                  <c:v>422.44870992851702</c:v>
                </c:pt>
                <c:pt idx="12" formatCode="[$$-409]#,##0.00">
                  <c:v>433.00992767673</c:v>
                </c:pt>
                <c:pt idx="13" formatCode="[$$-409]#,##0.00">
                  <c:v>443.83517586864798</c:v>
                </c:pt>
                <c:pt idx="14" formatCode="[$$-409]#,##0.00">
                  <c:v>454.93105526536402</c:v>
                </c:pt>
                <c:pt idx="15" formatCode="[$$-409]#,##0.00">
                  <c:v>466.30433164699798</c:v>
                </c:pt>
                <c:pt idx="16" formatCode="[$$-409]#,##0.00">
                  <c:v>477.96193993817297</c:v>
                </c:pt>
                <c:pt idx="17" formatCode="[$$-409]#,##0.00">
                  <c:v>489.91098843662701</c:v>
                </c:pt>
                <c:pt idx="18" formatCode="[$$-409]#,##0.00">
                  <c:v>502.15876314754303</c:v>
                </c:pt>
                <c:pt idx="19" formatCode="[$$-409]#,##0.00">
                  <c:v>514.71273222623097</c:v>
                </c:pt>
                <c:pt idx="20" formatCode="[$$-409]#,##0.00">
                  <c:v>527.58055053188696</c:v>
                </c:pt>
                <c:pt idx="21" formatCode="[$$-409]#,##0.00">
                  <c:v>540.77006429518406</c:v>
                </c:pt>
                <c:pt idx="22" formatCode="[$$-409]#,##0.00">
                  <c:v>554.289315902564</c:v>
                </c:pt>
                <c:pt idx="23" formatCode="[$$-409]#,##0.00">
                  <c:v>568.14654880012802</c:v>
                </c:pt>
                <c:pt idx="24" formatCode="[$$-409]#,##0.00">
                  <c:v>582.35021252013098</c:v>
                </c:pt>
                <c:pt idx="25" formatCode="[$$-409]#,##0.00">
                  <c:v>596.90896783313406</c:v>
                </c:pt>
                <c:pt idx="26" formatCode="[$$-409]#,##0.00">
                  <c:v>611.83169202896295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4-4ED9-9BA2-22581F362BC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Cumulative Cashflow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Sheet3!$C$2:$C$28</c:f>
              <c:numCache>
                <c:formatCode>[$$-409]#,##0.00</c:formatCode>
                <c:ptCount val="27"/>
                <c:pt idx="0">
                  <c:v>-414.5</c:v>
                </c:pt>
                <c:pt idx="1">
                  <c:v>-866.37125000000003</c:v>
                </c:pt>
                <c:pt idx="2">
                  <c:v>-853.51778685797296</c:v>
                </c:pt>
                <c:pt idx="3">
                  <c:v>-812.97159821460696</c:v>
                </c:pt>
                <c:pt idx="4">
                  <c:v>-745.62822116185805</c:v>
                </c:pt>
                <c:pt idx="5">
                  <c:v>-668.14255896553402</c:v>
                </c:pt>
                <c:pt idx="6">
                  <c:v>-589.08011748513502</c:v>
                </c:pt>
                <c:pt idx="7">
                  <c:v>-508.40147723855898</c:v>
                </c:pt>
                <c:pt idx="8">
                  <c:v>-426.06623325665203</c:v>
                </c:pt>
                <c:pt idx="9">
                  <c:v>-342.03297044603102</c:v>
                </c:pt>
                <c:pt idx="10">
                  <c:v>-256.25923833597699</c:v>
                </c:pt>
                <c:pt idx="11">
                  <c:v>-168.701525194006</c:v>
                </c:pt>
                <c:pt idx="12">
                  <c:v>-79.315231494318596</c:v>
                </c:pt>
                <c:pt idx="13">
                  <c:v>11.945357277027499</c:v>
                </c:pt>
                <c:pt idx="14">
                  <c:v>105.127098496824</c:v>
                </c:pt>
                <c:pt idx="15">
                  <c:v>200.27802097628199</c:v>
                </c:pt>
                <c:pt idx="16">
                  <c:v>297.44735424689298</c:v>
                </c:pt>
                <c:pt idx="17">
                  <c:v>382.27106774510298</c:v>
                </c:pt>
                <c:pt idx="18">
                  <c:v>469.21537408076802</c:v>
                </c:pt>
                <c:pt idx="19">
                  <c:v>558.33328807482496</c:v>
                </c:pt>
                <c:pt idx="20">
                  <c:v>649.67914991873295</c:v>
                </c:pt>
                <c:pt idx="21">
                  <c:v>743.30865830873802</c:v>
                </c:pt>
                <c:pt idx="22">
                  <c:v>839.27890440849399</c:v>
                </c:pt>
                <c:pt idx="23">
                  <c:v>937.64840666074394</c:v>
                </c:pt>
                <c:pt idx="24">
                  <c:v>1038.4771464692999</c:v>
                </c:pt>
                <c:pt idx="25">
                  <c:v>1141.8266047730699</c:v>
                </c:pt>
                <c:pt idx="26">
                  <c:v>1247.7597995344299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4-4147-A1DD-F3618050CF42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Net Cashflow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Sheet3!$D$2:$D$28</c:f>
              <c:numCache>
                <c:formatCode>[$$-409]#,##0.00</c:formatCode>
                <c:ptCount val="27"/>
                <c:pt idx="0">
                  <c:v>-414.5</c:v>
                </c:pt>
                <c:pt idx="1">
                  <c:v>-451.87124999999997</c:v>
                </c:pt>
                <c:pt idx="2">
                  <c:v>12.853463142026699</c:v>
                </c:pt>
                <c:pt idx="3">
                  <c:v>40.546188643366001</c:v>
                </c:pt>
                <c:pt idx="4">
                  <c:v>67.343377052749105</c:v>
                </c:pt>
                <c:pt idx="5">
                  <c:v>77.485662196324398</c:v>
                </c:pt>
                <c:pt idx="6">
                  <c:v>79.062441480399201</c:v>
                </c:pt>
                <c:pt idx="7">
                  <c:v>80.678640246575796</c:v>
                </c:pt>
                <c:pt idx="8">
                  <c:v>82.335243981906899</c:v>
                </c:pt>
                <c:pt idx="9">
                  <c:v>84.033262810621196</c:v>
                </c:pt>
                <c:pt idx="10">
                  <c:v>85.773732110053402</c:v>
                </c:pt>
                <c:pt idx="11">
                  <c:v>87.557713141971405</c:v>
                </c:pt>
                <c:pt idx="12">
                  <c:v>89.3862936996873</c:v>
                </c:pt>
                <c:pt idx="13">
                  <c:v>91.260588771346207</c:v>
                </c:pt>
                <c:pt idx="14">
                  <c:v>93.181741219796507</c:v>
                </c:pt>
                <c:pt idx="15">
                  <c:v>95.150922479458103</c:v>
                </c:pt>
                <c:pt idx="16">
                  <c:v>97.169333270611205</c:v>
                </c:pt>
                <c:pt idx="17">
                  <c:v>84.823713498209798</c:v>
                </c:pt>
                <c:pt idx="18">
                  <c:v>86.944306335665004</c:v>
                </c:pt>
                <c:pt idx="19">
                  <c:v>89.117913994056593</c:v>
                </c:pt>
                <c:pt idx="20">
                  <c:v>91.345861843907997</c:v>
                </c:pt>
                <c:pt idx="21">
                  <c:v>93.629508390005697</c:v>
                </c:pt>
                <c:pt idx="22">
                  <c:v>95.970246099755897</c:v>
                </c:pt>
                <c:pt idx="23">
                  <c:v>98.369502252249703</c:v>
                </c:pt>
                <c:pt idx="24">
                  <c:v>100.82873980855599</c:v>
                </c:pt>
                <c:pt idx="25">
                  <c:v>103.34945830377001</c:v>
                </c:pt>
                <c:pt idx="26">
                  <c:v>105.93319476136401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8-47A9-A1B6-721E6F27B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438408"/>
        <c:axId val="486434800"/>
      </c:lineChart>
      <c:catAx>
        <c:axId val="48643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layout>
            <c:manualLayout>
              <c:xMode val="edge"/>
              <c:yMode val="edge"/>
              <c:x val="0.93899695167974129"/>
              <c:y val="0.8999836807963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4800"/>
        <c:crossesAt val="0"/>
        <c:auto val="1"/>
        <c:lblAlgn val="ctr"/>
        <c:lblOffset val="100"/>
        <c:noMultiLvlLbl val="0"/>
      </c:catAx>
      <c:valAx>
        <c:axId val="4864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7</xdr:row>
      <xdr:rowOff>104774</xdr:rowOff>
    </xdr:from>
    <xdr:to>
      <xdr:col>15</xdr:col>
      <xdr:colOff>314325</xdr:colOff>
      <xdr:row>23</xdr:row>
      <xdr:rowOff>30479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E3BD9C-E255-465E-91F6-A537E1690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AF73"/>
  <sheetViews>
    <sheetView showGridLines="0" topLeftCell="B1" zoomScaleNormal="100" workbookViewId="0">
      <pane ySplit="12" topLeftCell="A53" activePane="bottomLeft" state="frozenSplit"/>
      <selection pane="bottomLeft" activeCell="C51" sqref="C51"/>
    </sheetView>
  </sheetViews>
  <sheetFormatPr defaultColWidth="8.7109375" defaultRowHeight="15" x14ac:dyDescent="0.25"/>
  <cols>
    <col min="1" max="1" width="5.7109375" customWidth="1"/>
    <col min="2" max="2" width="30.140625" customWidth="1"/>
    <col min="3" max="3" width="33.42578125" bestFit="1" customWidth="1"/>
    <col min="4" max="4" width="6.42578125" customWidth="1"/>
    <col min="5" max="5" width="7" customWidth="1"/>
    <col min="6" max="6" width="15.28515625" customWidth="1"/>
    <col min="7" max="7" width="15.7109375" customWidth="1"/>
    <col min="8" max="8" width="16.42578125" customWidth="1"/>
    <col min="9" max="9" width="17.140625" customWidth="1"/>
    <col min="10" max="10" width="15.7109375" customWidth="1"/>
    <col min="11" max="11" width="16.42578125" customWidth="1"/>
    <col min="12" max="12" width="15.7109375" customWidth="1"/>
    <col min="13" max="13" width="17.7109375" customWidth="1"/>
    <col min="14" max="14" width="15" customWidth="1"/>
    <col min="15" max="15" width="15.42578125" customWidth="1"/>
    <col min="16" max="16" width="14.7109375" customWidth="1"/>
    <col min="17" max="17" width="17.7109375" customWidth="1"/>
    <col min="18" max="18" width="14" customWidth="1"/>
    <col min="19" max="19" width="15.140625" customWidth="1"/>
    <col min="20" max="20" width="14.140625" customWidth="1"/>
    <col min="21" max="21" width="14.7109375" customWidth="1"/>
    <col min="22" max="22" width="15.7109375" customWidth="1"/>
    <col min="23" max="23" width="14.7109375" customWidth="1"/>
    <col min="24" max="24" width="15.42578125" customWidth="1"/>
    <col min="25" max="25" width="13.42578125" customWidth="1"/>
    <col min="26" max="26" width="16.7109375" customWidth="1"/>
    <col min="27" max="27" width="13.28515625" customWidth="1"/>
    <col min="28" max="28" width="14" customWidth="1"/>
    <col min="29" max="29" width="14.7109375" customWidth="1"/>
    <col min="30" max="30" width="14.140625" customWidth="1"/>
    <col min="31" max="31" width="13.7109375" customWidth="1"/>
    <col min="32" max="32" width="13.42578125" customWidth="1"/>
  </cols>
  <sheetData>
    <row r="2" spans="2:32" ht="21" x14ac:dyDescent="0.35">
      <c r="J2" s="50" t="s">
        <v>24</v>
      </c>
      <c r="K2" s="51"/>
      <c r="L2" s="51"/>
      <c r="M2" s="51"/>
      <c r="N2" s="13"/>
    </row>
    <row r="3" spans="2:32" ht="16.5" customHeight="1" x14ac:dyDescent="0.35">
      <c r="J3" s="25"/>
      <c r="K3" s="13"/>
      <c r="L3" s="13"/>
    </row>
    <row r="4" spans="2:32" ht="17.25" customHeight="1" x14ac:dyDescent="0.35">
      <c r="B4" s="52" t="s">
        <v>25</v>
      </c>
      <c r="J4" s="25"/>
      <c r="K4" s="13"/>
      <c r="L4" s="13"/>
    </row>
    <row r="5" spans="2:32" ht="15" customHeight="1" x14ac:dyDescent="0.35">
      <c r="B5" s="27" t="s">
        <v>26</v>
      </c>
      <c r="J5" s="25"/>
      <c r="K5" s="13"/>
      <c r="L5" s="13"/>
    </row>
    <row r="6" spans="2:32" ht="15" customHeight="1" x14ac:dyDescent="0.35">
      <c r="B6" s="27" t="s">
        <v>40</v>
      </c>
      <c r="E6" s="67">
        <v>2021</v>
      </c>
      <c r="H6" s="27"/>
      <c r="I6" t="s">
        <v>49</v>
      </c>
      <c r="J6" s="25"/>
      <c r="K6" s="13"/>
      <c r="L6" s="13"/>
    </row>
    <row r="7" spans="2:32" ht="15" customHeight="1" x14ac:dyDescent="0.35">
      <c r="B7" s="27" t="s">
        <v>39</v>
      </c>
      <c r="E7" s="67">
        <v>2045</v>
      </c>
      <c r="H7" s="27"/>
      <c r="J7" s="25"/>
      <c r="K7" s="13"/>
      <c r="L7" s="13"/>
    </row>
    <row r="8" spans="2:32" ht="15" customHeight="1" x14ac:dyDescent="0.35">
      <c r="B8" s="27" t="s">
        <v>45</v>
      </c>
      <c r="E8" s="67" t="s">
        <v>55</v>
      </c>
      <c r="H8" s="27"/>
      <c r="J8" s="25"/>
      <c r="K8" s="13"/>
      <c r="L8" s="13"/>
    </row>
    <row r="9" spans="2:32" ht="15" customHeight="1" x14ac:dyDescent="0.35">
      <c r="B9" s="27" t="s">
        <v>67</v>
      </c>
      <c r="J9" s="25"/>
      <c r="K9" s="13"/>
      <c r="L9" s="13"/>
    </row>
    <row r="10" spans="2:32" ht="15" customHeight="1" x14ac:dyDescent="0.35">
      <c r="B10" s="27"/>
      <c r="J10" s="25"/>
      <c r="K10" s="13"/>
      <c r="L10" s="13"/>
    </row>
    <row r="11" spans="2:32" ht="15" customHeight="1" x14ac:dyDescent="0.25">
      <c r="B11" s="26"/>
    </row>
    <row r="12" spans="2:32" s="1" customFormat="1" ht="15" customHeight="1" x14ac:dyDescent="0.25">
      <c r="F12" s="24">
        <v>2019</v>
      </c>
      <c r="G12" s="24">
        <v>2020</v>
      </c>
      <c r="H12" s="24">
        <f>G12+1</f>
        <v>2021</v>
      </c>
      <c r="I12" s="24">
        <f t="shared" ref="I12:T12" si="0">H12+1</f>
        <v>2022</v>
      </c>
      <c r="J12" s="24">
        <f t="shared" si="0"/>
        <v>2023</v>
      </c>
      <c r="K12" s="24">
        <f t="shared" si="0"/>
        <v>2024</v>
      </c>
      <c r="L12" s="24">
        <f t="shared" si="0"/>
        <v>2025</v>
      </c>
      <c r="M12" s="24">
        <f t="shared" si="0"/>
        <v>2026</v>
      </c>
      <c r="N12" s="24">
        <f t="shared" si="0"/>
        <v>2027</v>
      </c>
      <c r="O12" s="24">
        <f t="shared" si="0"/>
        <v>2028</v>
      </c>
      <c r="P12" s="24">
        <f t="shared" si="0"/>
        <v>2029</v>
      </c>
      <c r="Q12" s="24">
        <f>P12+1</f>
        <v>2030</v>
      </c>
      <c r="R12" s="24">
        <f t="shared" si="0"/>
        <v>2031</v>
      </c>
      <c r="S12" s="24">
        <f t="shared" si="0"/>
        <v>2032</v>
      </c>
      <c r="T12" s="24">
        <f t="shared" si="0"/>
        <v>2033</v>
      </c>
      <c r="U12" s="24">
        <f t="shared" ref="U12" si="1">T12+1</f>
        <v>2034</v>
      </c>
      <c r="V12" s="24">
        <f t="shared" ref="V12" si="2">U12+1</f>
        <v>2035</v>
      </c>
      <c r="W12" s="24">
        <f t="shared" ref="W12" si="3">V12+1</f>
        <v>2036</v>
      </c>
      <c r="X12" s="24">
        <f t="shared" ref="X12" si="4">W12+1</f>
        <v>2037</v>
      </c>
      <c r="Y12" s="24">
        <f t="shared" ref="Y12" si="5">X12+1</f>
        <v>2038</v>
      </c>
      <c r="Z12" s="24">
        <f t="shared" ref="Z12" si="6">Y12+1</f>
        <v>2039</v>
      </c>
      <c r="AA12" s="24">
        <f t="shared" ref="AA12" si="7">Z12+1</f>
        <v>2040</v>
      </c>
      <c r="AB12" s="24">
        <f t="shared" ref="AB12" si="8">AA12+1</f>
        <v>2041</v>
      </c>
      <c r="AC12" s="24">
        <f t="shared" ref="AC12" si="9">AB12+1</f>
        <v>2042</v>
      </c>
      <c r="AD12" s="24">
        <f t="shared" ref="AD12" si="10">AC12+1</f>
        <v>2043</v>
      </c>
      <c r="AE12" s="24">
        <f t="shared" ref="AE12:AF12" si="11">AD12+1</f>
        <v>2044</v>
      </c>
      <c r="AF12" s="24">
        <f t="shared" si="11"/>
        <v>2045</v>
      </c>
    </row>
    <row r="13" spans="2:32" s="1" customFormat="1" x14ac:dyDescent="0.25"/>
    <row r="14" spans="2:32" s="1" customFormat="1" ht="18.75" x14ac:dyDescent="0.3">
      <c r="B14" s="52" t="s">
        <v>21</v>
      </c>
    </row>
    <row r="15" spans="2:32" s="1" customFormat="1" x14ac:dyDescent="0.25"/>
    <row r="16" spans="2:32" s="1" customFormat="1" x14ac:dyDescent="0.25">
      <c r="B16" s="5" t="s">
        <v>5</v>
      </c>
    </row>
    <row r="17" spans="2:32" s="1" customFormat="1" x14ac:dyDescent="0.25">
      <c r="B17" s="9" t="s">
        <v>1</v>
      </c>
      <c r="C17" s="3">
        <v>2.5000000000000001E-2</v>
      </c>
      <c r="D17" s="14"/>
      <c r="E17" s="14"/>
      <c r="F17" s="68">
        <v>1</v>
      </c>
      <c r="G17" s="54">
        <f>F17*(1+$C17)</f>
        <v>1.0249999999999999</v>
      </c>
      <c r="H17" s="54">
        <f t="shared" ref="H17:T17" si="12">G17*(1+$C17)</f>
        <v>1.0506249999999999</v>
      </c>
      <c r="I17" s="54">
        <f t="shared" si="12"/>
        <v>1.0768906249999999</v>
      </c>
      <c r="J17" s="54">
        <f t="shared" si="12"/>
        <v>1.1038128906249998</v>
      </c>
      <c r="K17" s="54">
        <f t="shared" si="12"/>
        <v>1.1314082128906247</v>
      </c>
      <c r="L17" s="54">
        <f t="shared" si="12"/>
        <v>1.1596934182128902</v>
      </c>
      <c r="M17" s="54">
        <f t="shared" si="12"/>
        <v>1.1886857536682123</v>
      </c>
      <c r="N17" s="54">
        <f t="shared" si="12"/>
        <v>1.2184028975099175</v>
      </c>
      <c r="O17" s="54">
        <f t="shared" si="12"/>
        <v>1.2488629699476652</v>
      </c>
      <c r="P17" s="54">
        <f t="shared" si="12"/>
        <v>1.2800845441963566</v>
      </c>
      <c r="Q17" s="54">
        <f>P17*(1+$C17)</f>
        <v>1.3120866578012655</v>
      </c>
      <c r="R17" s="54">
        <f t="shared" si="12"/>
        <v>1.3448888242462971</v>
      </c>
      <c r="S17" s="54">
        <f t="shared" si="12"/>
        <v>1.3785110448524545</v>
      </c>
      <c r="T17" s="54">
        <f t="shared" si="12"/>
        <v>1.4129738209737657</v>
      </c>
      <c r="U17" s="54">
        <f>T17*(1+$C17)</f>
        <v>1.4482981664981096</v>
      </c>
      <c r="V17" s="54">
        <f t="shared" ref="V17:AF17" si="13">U17*(1+$C17)</f>
        <v>1.4845056206605622</v>
      </c>
      <c r="W17" s="54">
        <f t="shared" si="13"/>
        <v>1.5216182611770761</v>
      </c>
      <c r="X17" s="54">
        <f t="shared" si="13"/>
        <v>1.5596587177065029</v>
      </c>
      <c r="Y17" s="54">
        <f t="shared" si="13"/>
        <v>1.5986501856491653</v>
      </c>
      <c r="Z17" s="54">
        <f t="shared" si="13"/>
        <v>1.6386164402903942</v>
      </c>
      <c r="AA17" s="54">
        <f t="shared" si="13"/>
        <v>1.6795818512976539</v>
      </c>
      <c r="AB17" s="54">
        <f t="shared" si="13"/>
        <v>1.721571397580095</v>
      </c>
      <c r="AC17" s="54">
        <f t="shared" si="13"/>
        <v>1.7646106825195973</v>
      </c>
      <c r="AD17" s="54">
        <f t="shared" si="13"/>
        <v>1.8087259495825871</v>
      </c>
      <c r="AE17" s="54">
        <f t="shared" si="13"/>
        <v>1.8539440983221516</v>
      </c>
      <c r="AF17" s="54">
        <f t="shared" si="13"/>
        <v>1.9002927007802053</v>
      </c>
    </row>
    <row r="18" spans="2:32" s="1" customFormat="1" x14ac:dyDescent="0.25">
      <c r="B18" s="9" t="s">
        <v>53</v>
      </c>
      <c r="C18" s="3">
        <v>2.5000000000000001E-2</v>
      </c>
      <c r="D18" s="14"/>
      <c r="E18" s="14"/>
      <c r="F18" s="68">
        <v>1</v>
      </c>
      <c r="G18" s="54">
        <f t="shared" ref="G18:T19" si="14">F18*(1+$C18)</f>
        <v>1.0249999999999999</v>
      </c>
      <c r="H18" s="54">
        <f t="shared" si="14"/>
        <v>1.0506249999999999</v>
      </c>
      <c r="I18" s="54">
        <f t="shared" si="14"/>
        <v>1.0768906249999999</v>
      </c>
      <c r="J18" s="54">
        <f t="shared" si="14"/>
        <v>1.1038128906249998</v>
      </c>
      <c r="K18" s="54">
        <f t="shared" si="14"/>
        <v>1.1314082128906247</v>
      </c>
      <c r="L18" s="54">
        <f t="shared" si="14"/>
        <v>1.1596934182128902</v>
      </c>
      <c r="M18" s="54">
        <f t="shared" si="14"/>
        <v>1.1886857536682123</v>
      </c>
      <c r="N18" s="54">
        <f t="shared" si="14"/>
        <v>1.2184028975099175</v>
      </c>
      <c r="O18" s="54">
        <f t="shared" si="14"/>
        <v>1.2488629699476652</v>
      </c>
      <c r="P18" s="54">
        <f t="shared" si="14"/>
        <v>1.2800845441963566</v>
      </c>
      <c r="Q18" s="54">
        <f>P18*(1+$C18)</f>
        <v>1.3120866578012655</v>
      </c>
      <c r="R18" s="54">
        <f t="shared" si="14"/>
        <v>1.3448888242462971</v>
      </c>
      <c r="S18" s="54">
        <f t="shared" si="14"/>
        <v>1.3785110448524545</v>
      </c>
      <c r="T18" s="54">
        <f t="shared" si="14"/>
        <v>1.4129738209737657</v>
      </c>
      <c r="U18" s="54">
        <f>T18*(1+$C18)</f>
        <v>1.4482981664981096</v>
      </c>
      <c r="V18" s="54">
        <f t="shared" ref="V18:AF18" si="15">U18*(1+$C18)</f>
        <v>1.4845056206605622</v>
      </c>
      <c r="W18" s="54">
        <f t="shared" si="15"/>
        <v>1.5216182611770761</v>
      </c>
      <c r="X18" s="54">
        <f t="shared" si="15"/>
        <v>1.5596587177065029</v>
      </c>
      <c r="Y18" s="54">
        <f t="shared" si="15"/>
        <v>1.5986501856491653</v>
      </c>
      <c r="Z18" s="54">
        <f t="shared" si="15"/>
        <v>1.6386164402903942</v>
      </c>
      <c r="AA18" s="54">
        <f t="shared" si="15"/>
        <v>1.6795818512976539</v>
      </c>
      <c r="AB18" s="54">
        <f t="shared" si="15"/>
        <v>1.721571397580095</v>
      </c>
      <c r="AC18" s="54">
        <f t="shared" si="15"/>
        <v>1.7646106825195973</v>
      </c>
      <c r="AD18" s="54">
        <f t="shared" si="15"/>
        <v>1.8087259495825871</v>
      </c>
      <c r="AE18" s="54">
        <f t="shared" si="15"/>
        <v>1.8539440983221516</v>
      </c>
      <c r="AF18" s="54">
        <f t="shared" si="15"/>
        <v>1.9002927007802053</v>
      </c>
    </row>
    <row r="19" spans="2:32" s="1" customFormat="1" x14ac:dyDescent="0.25">
      <c r="B19" s="9" t="s">
        <v>47</v>
      </c>
      <c r="C19" s="3">
        <v>7.0000000000000007E-2</v>
      </c>
      <c r="D19" s="14"/>
      <c r="E19" s="14"/>
      <c r="F19" s="68">
        <v>1</v>
      </c>
      <c r="G19" s="54">
        <f t="shared" si="14"/>
        <v>1.07</v>
      </c>
      <c r="H19" s="54">
        <f t="shared" si="14"/>
        <v>1.1449</v>
      </c>
      <c r="I19" s="54">
        <f t="shared" si="14"/>
        <v>1.2250430000000001</v>
      </c>
      <c r="J19" s="54">
        <f t="shared" si="14"/>
        <v>1.3107960100000002</v>
      </c>
      <c r="K19" s="54">
        <f t="shared" si="14"/>
        <v>1.4025517307000004</v>
      </c>
      <c r="L19" s="54">
        <f t="shared" si="14"/>
        <v>1.5007303518490005</v>
      </c>
      <c r="M19" s="54">
        <f t="shared" si="14"/>
        <v>1.6057814764784306</v>
      </c>
      <c r="N19" s="54">
        <f t="shared" si="14"/>
        <v>1.7181861798319209</v>
      </c>
      <c r="O19" s="54">
        <f t="shared" si="14"/>
        <v>1.8384592124201555</v>
      </c>
      <c r="P19" s="54">
        <f t="shared" si="14"/>
        <v>1.9671513572895665</v>
      </c>
      <c r="Q19" s="54">
        <f>P19*(1+$C19)</f>
        <v>2.1048519522998363</v>
      </c>
      <c r="R19" s="54">
        <f t="shared" si="14"/>
        <v>2.2521915889608248</v>
      </c>
      <c r="S19" s="54">
        <f t="shared" si="14"/>
        <v>2.4098450001880827</v>
      </c>
      <c r="T19" s="54">
        <f t="shared" si="14"/>
        <v>2.5785341502012487</v>
      </c>
      <c r="U19" s="54">
        <f>T19*(1+$C19)</f>
        <v>2.7590315407153363</v>
      </c>
      <c r="V19" s="54">
        <f t="shared" ref="V19:AF19" si="16">U19*(1+$C19)</f>
        <v>2.9521637485654102</v>
      </c>
      <c r="W19" s="54">
        <f t="shared" si="16"/>
        <v>3.1588152109649892</v>
      </c>
      <c r="X19" s="54">
        <f t="shared" si="16"/>
        <v>3.3799322757325387</v>
      </c>
      <c r="Y19" s="54">
        <f t="shared" si="16"/>
        <v>3.6165275350338169</v>
      </c>
      <c r="Z19" s="54">
        <f t="shared" si="16"/>
        <v>3.8696844624861844</v>
      </c>
      <c r="AA19" s="54">
        <f t="shared" si="16"/>
        <v>4.1405623748602176</v>
      </c>
      <c r="AB19" s="54">
        <f t="shared" si="16"/>
        <v>4.4304017411004333</v>
      </c>
      <c r="AC19" s="54">
        <f t="shared" si="16"/>
        <v>4.7405298629774641</v>
      </c>
      <c r="AD19" s="54">
        <f t="shared" si="16"/>
        <v>5.0723669533858873</v>
      </c>
      <c r="AE19" s="54">
        <f t="shared" si="16"/>
        <v>5.4274326401229001</v>
      </c>
      <c r="AF19" s="54">
        <f t="shared" si="16"/>
        <v>5.8073529249315037</v>
      </c>
    </row>
    <row r="20" spans="2:32" s="1" customFormat="1" x14ac:dyDescent="0.25">
      <c r="D20" s="14"/>
      <c r="E20" s="14"/>
      <c r="F20" s="14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4"/>
    </row>
    <row r="21" spans="2:32" s="1" customFormat="1" x14ac:dyDescent="0.25">
      <c r="B21" s="5" t="s">
        <v>57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2:32" x14ac:dyDescent="0.25">
      <c r="B22" t="s">
        <v>9</v>
      </c>
      <c r="D22" s="13" t="s">
        <v>46</v>
      </c>
      <c r="E22" s="13"/>
      <c r="F22" s="15">
        <v>132500000</v>
      </c>
      <c r="G22" s="15">
        <v>308350000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</row>
    <row r="23" spans="2:32" x14ac:dyDescent="0.25">
      <c r="B23" t="s">
        <v>41</v>
      </c>
      <c r="D23" s="13" t="s">
        <v>46</v>
      </c>
      <c r="E23" s="13"/>
      <c r="F23" s="15">
        <v>282000000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</row>
    <row r="24" spans="2:32" x14ac:dyDescent="0.25"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2:32" x14ac:dyDescent="0.25">
      <c r="B25" s="6" t="s">
        <v>2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32" x14ac:dyDescent="0.25">
      <c r="B26" s="53" t="s">
        <v>42</v>
      </c>
      <c r="D26" s="13"/>
      <c r="E26" s="13"/>
      <c r="F26" s="57">
        <v>0</v>
      </c>
      <c r="G26" s="57">
        <v>0</v>
      </c>
      <c r="H26" s="57">
        <v>400</v>
      </c>
      <c r="I26" s="57">
        <v>600</v>
      </c>
      <c r="J26" s="57">
        <v>800</v>
      </c>
      <c r="K26" s="57">
        <v>1000</v>
      </c>
      <c r="L26" s="57">
        <v>1000</v>
      </c>
      <c r="M26" s="57">
        <v>1000</v>
      </c>
      <c r="N26" s="57">
        <v>1000</v>
      </c>
      <c r="O26" s="57">
        <v>1000</v>
      </c>
      <c r="P26" s="57">
        <v>1000</v>
      </c>
      <c r="Q26" s="57">
        <v>1000</v>
      </c>
      <c r="R26" s="57">
        <v>1000</v>
      </c>
      <c r="S26" s="57">
        <v>1000</v>
      </c>
      <c r="T26" s="57">
        <v>1000</v>
      </c>
      <c r="U26" s="57">
        <v>1000</v>
      </c>
      <c r="V26" s="57">
        <v>1000</v>
      </c>
      <c r="W26" s="57">
        <v>1000</v>
      </c>
      <c r="X26" s="57">
        <v>1000</v>
      </c>
      <c r="Y26" s="57">
        <v>1000</v>
      </c>
      <c r="Z26" s="57">
        <v>1000</v>
      </c>
      <c r="AA26" s="57">
        <v>1000</v>
      </c>
      <c r="AB26" s="57">
        <v>1000</v>
      </c>
      <c r="AC26" s="57">
        <v>1000</v>
      </c>
      <c r="AD26" s="57">
        <v>1000</v>
      </c>
      <c r="AE26" s="57">
        <v>1000</v>
      </c>
      <c r="AF26" s="57">
        <v>1000</v>
      </c>
    </row>
    <row r="27" spans="2:32" x14ac:dyDescent="0.25">
      <c r="B27" s="53" t="s">
        <v>43</v>
      </c>
      <c r="C27" s="7">
        <v>127427.27814878452</v>
      </c>
      <c r="D27" s="13" t="s">
        <v>44</v>
      </c>
      <c r="E27" s="7"/>
      <c r="F27" s="7">
        <f>0</f>
        <v>0</v>
      </c>
      <c r="G27" s="7">
        <f>0</f>
        <v>0</v>
      </c>
      <c r="H27" s="7">
        <f t="shared" ref="H27:Q27" si="17">$C$27*H17</f>
        <v>133878.28410506673</v>
      </c>
      <c r="I27" s="7">
        <f t="shared" si="17"/>
        <v>137225.24120769338</v>
      </c>
      <c r="J27" s="7">
        <f t="shared" si="17"/>
        <v>140655.87223788572</v>
      </c>
      <c r="K27" s="7">
        <f t="shared" si="17"/>
        <v>144172.26904383284</v>
      </c>
      <c r="L27" s="7">
        <f t="shared" si="17"/>
        <v>147776.57576992866</v>
      </c>
      <c r="M27" s="7">
        <f t="shared" si="17"/>
        <v>151470.99016417685</v>
      </c>
      <c r="N27" s="7">
        <f t="shared" si="17"/>
        <v>155257.76491828126</v>
      </c>
      <c r="O27" s="7">
        <f t="shared" si="17"/>
        <v>159139.20904123827</v>
      </c>
      <c r="P27" s="7">
        <f t="shared" si="17"/>
        <v>163117.68926726919</v>
      </c>
      <c r="Q27" s="7">
        <f t="shared" si="17"/>
        <v>167195.63149895091</v>
      </c>
      <c r="R27" s="7">
        <f t="shared" ref="R27:AF27" si="18">$C$27*R17</f>
        <v>171375.52228642468</v>
      </c>
      <c r="S27" s="7">
        <f t="shared" si="18"/>
        <v>175659.91034358527</v>
      </c>
      <c r="T27" s="7">
        <f t="shared" si="18"/>
        <v>180051.4081021749</v>
      </c>
      <c r="U27" s="7">
        <f t="shared" si="18"/>
        <v>184552.69330472924</v>
      </c>
      <c r="V27" s="7">
        <f t="shared" si="18"/>
        <v>189166.51063734747</v>
      </c>
      <c r="W27" s="7">
        <f t="shared" si="18"/>
        <v>193895.67340328114</v>
      </c>
      <c r="X27" s="7">
        <f t="shared" si="18"/>
        <v>198743.06523836314</v>
      </c>
      <c r="Y27" s="7">
        <f t="shared" si="18"/>
        <v>203711.64186932219</v>
      </c>
      <c r="Z27" s="7">
        <f t="shared" si="18"/>
        <v>208804.43291605523</v>
      </c>
      <c r="AA27" s="7">
        <f t="shared" si="18"/>
        <v>214024.54373895659</v>
      </c>
      <c r="AB27" s="7">
        <f t="shared" si="18"/>
        <v>219375.15733243048</v>
      </c>
      <c r="AC27" s="7">
        <f t="shared" si="18"/>
        <v>224859.53626574122</v>
      </c>
      <c r="AD27" s="7">
        <f t="shared" si="18"/>
        <v>230481.02467238475</v>
      </c>
      <c r="AE27" s="7">
        <f t="shared" si="18"/>
        <v>236243.05028919433</v>
      </c>
      <c r="AF27" s="7">
        <f t="shared" si="18"/>
        <v>242149.12654642417</v>
      </c>
    </row>
    <row r="28" spans="2:32" x14ac:dyDescent="0.25">
      <c r="B28" t="s">
        <v>3</v>
      </c>
      <c r="D28" s="13" t="s">
        <v>46</v>
      </c>
      <c r="E28" s="13"/>
      <c r="F28" s="16">
        <f>F27*F26</f>
        <v>0</v>
      </c>
      <c r="G28" s="16">
        <f t="shared" ref="G28:AF28" si="19">G27*G26</f>
        <v>0</v>
      </c>
      <c r="H28" s="16">
        <f t="shared" si="19"/>
        <v>53551313.642026693</v>
      </c>
      <c r="I28" s="16">
        <f t="shared" si="19"/>
        <v>82335144.724616036</v>
      </c>
      <c r="J28" s="16">
        <f t="shared" si="19"/>
        <v>112524697.79030858</v>
      </c>
      <c r="K28" s="16">
        <f t="shared" si="19"/>
        <v>144172269.04383284</v>
      </c>
      <c r="L28" s="16">
        <f t="shared" si="19"/>
        <v>147776575.76992866</v>
      </c>
      <c r="M28" s="16">
        <f t="shared" si="19"/>
        <v>151470990.16417685</v>
      </c>
      <c r="N28" s="16">
        <f t="shared" si="19"/>
        <v>155257764.91828126</v>
      </c>
      <c r="O28" s="16">
        <f t="shared" si="19"/>
        <v>159139209.04123828</v>
      </c>
      <c r="P28" s="16">
        <f t="shared" si="19"/>
        <v>163117689.26726919</v>
      </c>
      <c r="Q28" s="16">
        <f t="shared" si="19"/>
        <v>167195631.4989509</v>
      </c>
      <c r="R28" s="16">
        <f t="shared" si="19"/>
        <v>171375522.28642467</v>
      </c>
      <c r="S28" s="16">
        <f t="shared" si="19"/>
        <v>175659910.34358528</v>
      </c>
      <c r="T28" s="16">
        <f t="shared" si="19"/>
        <v>180051408.10217491</v>
      </c>
      <c r="U28" s="16">
        <f t="shared" si="19"/>
        <v>184552693.30472925</v>
      </c>
      <c r="V28" s="16">
        <f t="shared" si="19"/>
        <v>189166510.63734746</v>
      </c>
      <c r="W28" s="16">
        <f t="shared" si="19"/>
        <v>193895673.40328112</v>
      </c>
      <c r="X28" s="16">
        <f t="shared" si="19"/>
        <v>198743065.23836315</v>
      </c>
      <c r="Y28" s="16">
        <f t="shared" si="19"/>
        <v>203711641.86932218</v>
      </c>
      <c r="Z28" s="16">
        <f t="shared" si="19"/>
        <v>208804432.91605523</v>
      </c>
      <c r="AA28" s="16">
        <f t="shared" si="19"/>
        <v>214024543.7389566</v>
      </c>
      <c r="AB28" s="16">
        <f t="shared" si="19"/>
        <v>219375157.33243048</v>
      </c>
      <c r="AC28" s="16">
        <f t="shared" si="19"/>
        <v>224859536.26574123</v>
      </c>
      <c r="AD28" s="16">
        <f t="shared" si="19"/>
        <v>230481024.67238474</v>
      </c>
      <c r="AE28" s="16">
        <f t="shared" si="19"/>
        <v>236243050.28919435</v>
      </c>
      <c r="AF28" s="16">
        <f t="shared" si="19"/>
        <v>242149126.54642418</v>
      </c>
    </row>
    <row r="29" spans="2:32" x14ac:dyDescent="0.25">
      <c r="D29" s="13"/>
      <c r="E29" s="13"/>
      <c r="F29" s="13"/>
      <c r="G29" s="60"/>
      <c r="H29" s="60"/>
      <c r="I29" s="60"/>
      <c r="J29" s="60"/>
      <c r="K29" s="58"/>
      <c r="L29" s="58"/>
      <c r="M29" s="58"/>
      <c r="N29" s="58"/>
      <c r="O29" s="58"/>
      <c r="P29" s="58"/>
      <c r="Q29" s="58"/>
      <c r="R29" s="13"/>
      <c r="S29" s="13"/>
      <c r="T29" s="13"/>
      <c r="U29" s="13"/>
      <c r="V29" s="13"/>
      <c r="W29" s="13"/>
    </row>
    <row r="30" spans="2:32" x14ac:dyDescent="0.25">
      <c r="B30" s="6" t="s">
        <v>4</v>
      </c>
      <c r="D30" s="13"/>
      <c r="E30" s="13"/>
      <c r="F30" s="13"/>
      <c r="G30" s="60"/>
      <c r="H30" s="60"/>
      <c r="I30" s="60"/>
      <c r="J30" s="60"/>
      <c r="K30" s="58"/>
      <c r="L30" s="58"/>
      <c r="M30" s="58"/>
      <c r="N30" s="58"/>
      <c r="O30" s="58"/>
      <c r="P30" s="58"/>
      <c r="Q30" s="58"/>
      <c r="R30" s="13"/>
      <c r="S30" s="13"/>
      <c r="T30" s="13"/>
      <c r="U30" s="13"/>
      <c r="V30" s="13"/>
      <c r="W30" s="13"/>
    </row>
    <row r="31" spans="2:32" x14ac:dyDescent="0.25">
      <c r="B31" t="s">
        <v>27</v>
      </c>
      <c r="C31" s="7">
        <v>342</v>
      </c>
      <c r="D31" s="13" t="s">
        <v>44</v>
      </c>
      <c r="E31" s="13"/>
      <c r="F31" s="13"/>
      <c r="G31" s="13"/>
      <c r="H31" s="13">
        <f>$C$31*H17</f>
        <v>359.31374999999997</v>
      </c>
      <c r="I31" s="13">
        <f t="shared" ref="I31:AF31" si="20">$C$31*I17</f>
        <v>368.29659374999994</v>
      </c>
      <c r="J31" s="13">
        <f t="shared" si="20"/>
        <v>377.50400859374992</v>
      </c>
      <c r="K31" s="13">
        <f t="shared" si="20"/>
        <v>386.94160880859363</v>
      </c>
      <c r="L31" s="13">
        <f t="shared" si="20"/>
        <v>396.61514902880845</v>
      </c>
      <c r="M31" s="13">
        <f t="shared" si="20"/>
        <v>406.53052775452858</v>
      </c>
      <c r="N31" s="13">
        <f t="shared" si="20"/>
        <v>416.69379094839178</v>
      </c>
      <c r="O31" s="13">
        <f t="shared" si="20"/>
        <v>427.11113572210149</v>
      </c>
      <c r="P31" s="13">
        <f t="shared" si="20"/>
        <v>437.788914115154</v>
      </c>
      <c r="Q31" s="13">
        <f t="shared" si="20"/>
        <v>448.73363696803284</v>
      </c>
      <c r="R31" s="13">
        <f t="shared" si="20"/>
        <v>459.95197789223357</v>
      </c>
      <c r="S31" s="13">
        <f t="shared" si="20"/>
        <v>471.4507773395394</v>
      </c>
      <c r="T31" s="13">
        <f t="shared" si="20"/>
        <v>483.23704677302788</v>
      </c>
      <c r="U31" s="13">
        <f t="shared" si="20"/>
        <v>495.31797294235349</v>
      </c>
      <c r="V31" s="13">
        <f t="shared" si="20"/>
        <v>507.70092226591231</v>
      </c>
      <c r="W31" s="13">
        <f t="shared" si="20"/>
        <v>520.39344532256007</v>
      </c>
      <c r="X31" s="13">
        <f t="shared" si="20"/>
        <v>533.40328145562398</v>
      </c>
      <c r="Y31" s="13">
        <f t="shared" si="20"/>
        <v>546.73836349201451</v>
      </c>
      <c r="Z31" s="13">
        <f t="shared" si="20"/>
        <v>560.40682257931485</v>
      </c>
      <c r="AA31" s="13">
        <f t="shared" si="20"/>
        <v>574.41699314379764</v>
      </c>
      <c r="AB31" s="13">
        <f t="shared" si="20"/>
        <v>588.77741797239253</v>
      </c>
      <c r="AC31" s="13">
        <f t="shared" si="20"/>
        <v>603.49685342170233</v>
      </c>
      <c r="AD31" s="13">
        <f t="shared" si="20"/>
        <v>618.58427475724477</v>
      </c>
      <c r="AE31" s="13">
        <f t="shared" si="20"/>
        <v>634.04888162617578</v>
      </c>
      <c r="AF31" s="13">
        <f t="shared" si="20"/>
        <v>649.9001036668302</v>
      </c>
    </row>
    <row r="32" spans="2:32" x14ac:dyDescent="0.25">
      <c r="B32" t="s">
        <v>54</v>
      </c>
      <c r="C32" s="81"/>
      <c r="D32" s="13" t="s">
        <v>46</v>
      </c>
      <c r="E32" s="13"/>
      <c r="F32" s="16">
        <f>F31*F26</f>
        <v>0</v>
      </c>
      <c r="G32" s="16">
        <f t="shared" ref="G32:AF32" si="21">G31*G26</f>
        <v>0</v>
      </c>
      <c r="H32" s="16">
        <f t="shared" si="21"/>
        <v>143725.5</v>
      </c>
      <c r="I32" s="16">
        <f t="shared" si="21"/>
        <v>220977.95624999996</v>
      </c>
      <c r="J32" s="16">
        <f t="shared" si="21"/>
        <v>302003.20687499992</v>
      </c>
      <c r="K32" s="16">
        <f t="shared" si="21"/>
        <v>386941.60880859365</v>
      </c>
      <c r="L32" s="16">
        <f t="shared" si="21"/>
        <v>396615.14902880846</v>
      </c>
      <c r="M32" s="16">
        <f t="shared" si="21"/>
        <v>406530.52775452856</v>
      </c>
      <c r="N32" s="16">
        <f t="shared" si="21"/>
        <v>416693.79094839178</v>
      </c>
      <c r="O32" s="16">
        <f t="shared" si="21"/>
        <v>427111.13572210149</v>
      </c>
      <c r="P32" s="16">
        <f t="shared" si="21"/>
        <v>437788.91411515401</v>
      </c>
      <c r="Q32" s="16">
        <f t="shared" si="21"/>
        <v>448733.63696803286</v>
      </c>
      <c r="R32" s="16">
        <f t="shared" si="21"/>
        <v>459951.97789223358</v>
      </c>
      <c r="S32" s="16">
        <f t="shared" si="21"/>
        <v>471450.77733953937</v>
      </c>
      <c r="T32" s="16">
        <f t="shared" si="21"/>
        <v>483237.04677302786</v>
      </c>
      <c r="U32" s="16">
        <f t="shared" si="21"/>
        <v>495317.97294235352</v>
      </c>
      <c r="V32" s="16">
        <f t="shared" si="21"/>
        <v>507700.92226591229</v>
      </c>
      <c r="W32" s="16">
        <f t="shared" si="21"/>
        <v>520393.44532256009</v>
      </c>
      <c r="X32" s="16">
        <f t="shared" si="21"/>
        <v>533403.28145562403</v>
      </c>
      <c r="Y32" s="16">
        <f t="shared" si="21"/>
        <v>546738.36349201447</v>
      </c>
      <c r="Z32" s="16">
        <f t="shared" si="21"/>
        <v>560406.82257931482</v>
      </c>
      <c r="AA32" s="16">
        <f t="shared" si="21"/>
        <v>574416.99314379762</v>
      </c>
      <c r="AB32" s="16">
        <f t="shared" si="21"/>
        <v>588777.41797239252</v>
      </c>
      <c r="AC32" s="16">
        <f t="shared" si="21"/>
        <v>603496.85342170228</v>
      </c>
      <c r="AD32" s="16">
        <f t="shared" si="21"/>
        <v>618584.27475724474</v>
      </c>
      <c r="AE32" s="16">
        <f t="shared" si="21"/>
        <v>634048.88162617583</v>
      </c>
      <c r="AF32" s="16">
        <f t="shared" si="21"/>
        <v>649900.10366683023</v>
      </c>
    </row>
    <row r="33" spans="2:32" x14ac:dyDescent="0.25">
      <c r="B33" t="s">
        <v>28</v>
      </c>
      <c r="C33" s="7">
        <v>38600000</v>
      </c>
      <c r="D33" s="13" t="s">
        <v>46</v>
      </c>
      <c r="E33" s="13"/>
      <c r="F33" s="70">
        <v>0</v>
      </c>
      <c r="G33" s="70">
        <v>0</v>
      </c>
      <c r="H33" s="70">
        <f>$C$33*H17</f>
        <v>40554125</v>
      </c>
      <c r="I33" s="70">
        <f t="shared" ref="I33:Q33" si="22">$C$33*I17</f>
        <v>41567978.124999993</v>
      </c>
      <c r="J33" s="70">
        <f t="shared" si="22"/>
        <v>42607177.578124993</v>
      </c>
      <c r="K33" s="70">
        <f t="shared" si="22"/>
        <v>43672357.01757811</v>
      </c>
      <c r="L33" s="70">
        <f t="shared" si="22"/>
        <v>44764165.943017565</v>
      </c>
      <c r="M33" s="70">
        <f t="shared" si="22"/>
        <v>45883270.091592997</v>
      </c>
      <c r="N33" s="70">
        <f t="shared" si="22"/>
        <v>47030351.843882814</v>
      </c>
      <c r="O33" s="70">
        <f t="shared" si="22"/>
        <v>48206110.639979877</v>
      </c>
      <c r="P33" s="70">
        <f t="shared" si="22"/>
        <v>49411263.405979365</v>
      </c>
      <c r="Q33" s="70">
        <f t="shared" si="22"/>
        <v>50646544.991128847</v>
      </c>
      <c r="R33" s="70">
        <f t="shared" ref="R33:AF33" si="23">$C$33*R17</f>
        <v>51912708.615907066</v>
      </c>
      <c r="S33" s="70">
        <f t="shared" si="23"/>
        <v>53210526.331304744</v>
      </c>
      <c r="T33" s="70">
        <f t="shared" si="23"/>
        <v>54540789.489587352</v>
      </c>
      <c r="U33" s="70">
        <f t="shared" si="23"/>
        <v>55904309.226827033</v>
      </c>
      <c r="V33" s="70">
        <f t="shared" si="23"/>
        <v>57301916.957497701</v>
      </c>
      <c r="W33" s="70">
        <f t="shared" si="23"/>
        <v>58734464.881435141</v>
      </c>
      <c r="X33" s="70">
        <f t="shared" si="23"/>
        <v>60202826.503471009</v>
      </c>
      <c r="Y33" s="70">
        <f t="shared" si="23"/>
        <v>61707897.16605778</v>
      </c>
      <c r="Z33" s="70">
        <f t="shared" si="23"/>
        <v>63250594.595209219</v>
      </c>
      <c r="AA33" s="70">
        <f t="shared" si="23"/>
        <v>64831859.460089438</v>
      </c>
      <c r="AB33" s="70">
        <f t="shared" si="23"/>
        <v>66452655.946591668</v>
      </c>
      <c r="AC33" s="70">
        <f t="shared" si="23"/>
        <v>68113972.345256463</v>
      </c>
      <c r="AD33" s="70">
        <f t="shared" si="23"/>
        <v>69816821.653887868</v>
      </c>
      <c r="AE33" s="70">
        <f t="shared" si="23"/>
        <v>71562242.195235044</v>
      </c>
      <c r="AF33" s="70">
        <f t="shared" si="23"/>
        <v>73351298.250115931</v>
      </c>
    </row>
    <row r="34" spans="2:32" x14ac:dyDescent="0.25">
      <c r="B34" t="s">
        <v>48</v>
      </c>
      <c r="D34" s="13" t="s">
        <v>46</v>
      </c>
      <c r="E34" s="13"/>
      <c r="F34" s="71">
        <f>F33+F32</f>
        <v>0</v>
      </c>
      <c r="G34" s="71">
        <f t="shared" ref="G34:AF34" si="24">G33+G32</f>
        <v>0</v>
      </c>
      <c r="H34" s="71">
        <f t="shared" si="24"/>
        <v>40697850.5</v>
      </c>
      <c r="I34" s="71">
        <f t="shared" si="24"/>
        <v>41788956.08124999</v>
      </c>
      <c r="J34" s="71">
        <f t="shared" si="24"/>
        <v>42909180.784999989</v>
      </c>
      <c r="K34" s="71">
        <f t="shared" si="24"/>
        <v>44059298.626386702</v>
      </c>
      <c r="L34" s="71">
        <f t="shared" si="24"/>
        <v>45160781.092046373</v>
      </c>
      <c r="M34" s="71">
        <f t="shared" si="24"/>
        <v>46289800.619347528</v>
      </c>
      <c r="N34" s="71">
        <f t="shared" si="24"/>
        <v>47447045.634831205</v>
      </c>
      <c r="O34" s="71">
        <f t="shared" si="24"/>
        <v>48633221.775701977</v>
      </c>
      <c r="P34" s="71">
        <f t="shared" si="24"/>
        <v>49849052.320094518</v>
      </c>
      <c r="Q34" s="71">
        <f t="shared" si="24"/>
        <v>51095278.628096879</v>
      </c>
      <c r="R34" s="71">
        <f t="shared" si="24"/>
        <v>52372660.5937993</v>
      </c>
      <c r="S34" s="71">
        <f t="shared" si="24"/>
        <v>53681977.108644284</v>
      </c>
      <c r="T34" s="71">
        <f t="shared" si="24"/>
        <v>55024026.536360383</v>
      </c>
      <c r="U34" s="71">
        <f t="shared" si="24"/>
        <v>56399627.199769385</v>
      </c>
      <c r="V34" s="71">
        <f t="shared" si="24"/>
        <v>57809617.879763611</v>
      </c>
      <c r="W34" s="71">
        <f t="shared" si="24"/>
        <v>59254858.326757699</v>
      </c>
      <c r="X34" s="71">
        <f t="shared" si="24"/>
        <v>60736229.784926631</v>
      </c>
      <c r="Y34" s="71">
        <f t="shared" si="24"/>
        <v>62254635.529549792</v>
      </c>
      <c r="Z34" s="71">
        <f t="shared" si="24"/>
        <v>63811001.417788535</v>
      </c>
      <c r="AA34" s="71">
        <f t="shared" si="24"/>
        <v>65406276.453233235</v>
      </c>
      <c r="AB34" s="71">
        <f t="shared" si="24"/>
        <v>67041433.364564061</v>
      </c>
      <c r="AC34" s="71">
        <f t="shared" si="24"/>
        <v>68717469.198678166</v>
      </c>
      <c r="AD34" s="71">
        <f t="shared" si="24"/>
        <v>70435405.928645119</v>
      </c>
      <c r="AE34" s="71">
        <f t="shared" si="24"/>
        <v>72196291.076861218</v>
      </c>
      <c r="AF34" s="71">
        <f t="shared" si="24"/>
        <v>74001198.353782758</v>
      </c>
    </row>
    <row r="35" spans="2:32" s="2" customFormat="1" x14ac:dyDescent="0.25">
      <c r="D35" s="21"/>
      <c r="E35" s="21"/>
      <c r="F35" s="61"/>
      <c r="G35" s="61"/>
      <c r="H35" s="61"/>
      <c r="I35" s="61"/>
      <c r="J35" s="61"/>
      <c r="K35" s="62"/>
      <c r="L35" s="62"/>
      <c r="M35" s="62"/>
      <c r="N35" s="62"/>
      <c r="O35" s="62"/>
      <c r="P35" s="62"/>
      <c r="Q35" s="62"/>
      <c r="R35" s="23"/>
    </row>
    <row r="36" spans="2:32" x14ac:dyDescent="0.25">
      <c r="D36" s="13"/>
      <c r="E36" s="13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13"/>
    </row>
    <row r="37" spans="2:32" x14ac:dyDescent="0.25">
      <c r="B37" s="8" t="s">
        <v>19</v>
      </c>
      <c r="C37" s="13"/>
      <c r="D37" s="13"/>
      <c r="E37" s="13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13"/>
    </row>
    <row r="38" spans="2:32" x14ac:dyDescent="0.25">
      <c r="C38" s="13"/>
      <c r="D38" s="13"/>
      <c r="E38" s="13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13"/>
    </row>
    <row r="39" spans="2:32" x14ac:dyDescent="0.25">
      <c r="B39" t="s">
        <v>0</v>
      </c>
      <c r="C39" s="13"/>
      <c r="D39" s="13"/>
      <c r="E39" s="13"/>
      <c r="F39" s="16">
        <f>F23</f>
        <v>282000000</v>
      </c>
      <c r="G39" s="16">
        <f>G23</f>
        <v>0</v>
      </c>
      <c r="H39" s="16">
        <f t="shared" ref="H39:AF39" si="25">H23</f>
        <v>0</v>
      </c>
      <c r="I39" s="16">
        <f t="shared" si="25"/>
        <v>0</v>
      </c>
      <c r="J39" s="16">
        <f t="shared" si="25"/>
        <v>0</v>
      </c>
      <c r="K39" s="16">
        <f t="shared" si="25"/>
        <v>0</v>
      </c>
      <c r="L39" s="16">
        <f t="shared" si="25"/>
        <v>0</v>
      </c>
      <c r="M39" s="16">
        <f t="shared" si="25"/>
        <v>0</v>
      </c>
      <c r="N39" s="16">
        <f t="shared" si="25"/>
        <v>0</v>
      </c>
      <c r="O39" s="16">
        <f t="shared" si="25"/>
        <v>0</v>
      </c>
      <c r="P39" s="16">
        <f t="shared" si="25"/>
        <v>0</v>
      </c>
      <c r="Q39" s="16">
        <f t="shared" si="25"/>
        <v>0</v>
      </c>
      <c r="R39" s="16">
        <f t="shared" si="25"/>
        <v>0</v>
      </c>
      <c r="S39" s="16">
        <f t="shared" si="25"/>
        <v>0</v>
      </c>
      <c r="T39" s="16">
        <f t="shared" si="25"/>
        <v>0</v>
      </c>
      <c r="U39" s="16">
        <f t="shared" si="25"/>
        <v>0</v>
      </c>
      <c r="V39" s="16">
        <f t="shared" si="25"/>
        <v>0</v>
      </c>
      <c r="W39" s="16">
        <f t="shared" si="25"/>
        <v>0</v>
      </c>
      <c r="X39" s="16">
        <f t="shared" si="25"/>
        <v>0</v>
      </c>
      <c r="Y39" s="16">
        <f t="shared" si="25"/>
        <v>0</v>
      </c>
      <c r="Z39" s="16">
        <f t="shared" si="25"/>
        <v>0</v>
      </c>
      <c r="AA39" s="16">
        <f t="shared" si="25"/>
        <v>0</v>
      </c>
      <c r="AB39" s="16">
        <f t="shared" si="25"/>
        <v>0</v>
      </c>
      <c r="AC39" s="16">
        <f t="shared" si="25"/>
        <v>0</v>
      </c>
      <c r="AD39" s="16">
        <f t="shared" si="25"/>
        <v>0</v>
      </c>
      <c r="AE39" s="16">
        <f t="shared" si="25"/>
        <v>0</v>
      </c>
      <c r="AF39" s="16">
        <f t="shared" si="25"/>
        <v>0</v>
      </c>
    </row>
    <row r="40" spans="2:32" x14ac:dyDescent="0.25">
      <c r="B40" t="s">
        <v>9</v>
      </c>
      <c r="C40" s="13"/>
      <c r="D40" s="13"/>
      <c r="E40" s="13"/>
      <c r="F40" s="22">
        <f>F22</f>
        <v>132500000</v>
      </c>
      <c r="G40" s="22">
        <f>(F40+G22)*G18</f>
        <v>451871249.99999994</v>
      </c>
      <c r="H40" s="22">
        <f t="shared" ref="H40:Q40" si="26">H22*H17</f>
        <v>0</v>
      </c>
      <c r="I40" s="22">
        <f t="shared" si="26"/>
        <v>0</v>
      </c>
      <c r="J40" s="22">
        <f t="shared" si="26"/>
        <v>0</v>
      </c>
      <c r="K40" s="22">
        <f t="shared" si="26"/>
        <v>0</v>
      </c>
      <c r="L40" s="22">
        <f t="shared" si="26"/>
        <v>0</v>
      </c>
      <c r="M40" s="22">
        <f t="shared" si="26"/>
        <v>0</v>
      </c>
      <c r="N40" s="22">
        <f t="shared" si="26"/>
        <v>0</v>
      </c>
      <c r="O40" s="22">
        <f t="shared" si="26"/>
        <v>0</v>
      </c>
      <c r="P40" s="22">
        <f t="shared" si="26"/>
        <v>0</v>
      </c>
      <c r="Q40" s="22">
        <f t="shared" si="26"/>
        <v>0</v>
      </c>
      <c r="R40" s="22">
        <f t="shared" ref="R40:AF40" si="27">R22*R17</f>
        <v>0</v>
      </c>
      <c r="S40" s="22">
        <f t="shared" si="27"/>
        <v>0</v>
      </c>
      <c r="T40" s="22">
        <f t="shared" si="27"/>
        <v>0</v>
      </c>
      <c r="U40" s="22">
        <f t="shared" si="27"/>
        <v>0</v>
      </c>
      <c r="V40" s="22">
        <f t="shared" si="27"/>
        <v>0</v>
      </c>
      <c r="W40" s="22">
        <f t="shared" si="27"/>
        <v>0</v>
      </c>
      <c r="X40" s="22">
        <f t="shared" si="27"/>
        <v>0</v>
      </c>
      <c r="Y40" s="22">
        <f t="shared" si="27"/>
        <v>0</v>
      </c>
      <c r="Z40" s="22">
        <f t="shared" si="27"/>
        <v>0</v>
      </c>
      <c r="AA40" s="22">
        <f t="shared" si="27"/>
        <v>0</v>
      </c>
      <c r="AB40" s="22">
        <f t="shared" si="27"/>
        <v>0</v>
      </c>
      <c r="AC40" s="22">
        <f t="shared" si="27"/>
        <v>0</v>
      </c>
      <c r="AD40" s="22">
        <f t="shared" si="27"/>
        <v>0</v>
      </c>
      <c r="AE40" s="22">
        <f t="shared" si="27"/>
        <v>0</v>
      </c>
      <c r="AF40" s="22">
        <f t="shared" si="27"/>
        <v>0</v>
      </c>
    </row>
    <row r="41" spans="2:32" x14ac:dyDescent="0.25">
      <c r="B41" t="s">
        <v>14</v>
      </c>
      <c r="C41" s="13"/>
      <c r="D41" s="13"/>
      <c r="E41" s="13"/>
      <c r="F41" s="16">
        <f>F40+F39</f>
        <v>414500000</v>
      </c>
      <c r="G41" s="16">
        <f>G40+G39</f>
        <v>451871249.99999994</v>
      </c>
      <c r="H41" s="16">
        <f t="shared" ref="H41:AF41" si="28">H40+H39</f>
        <v>0</v>
      </c>
      <c r="I41" s="16">
        <f t="shared" si="28"/>
        <v>0</v>
      </c>
      <c r="J41" s="16">
        <f t="shared" si="28"/>
        <v>0</v>
      </c>
      <c r="K41" s="16">
        <f t="shared" si="28"/>
        <v>0</v>
      </c>
      <c r="L41" s="16">
        <f t="shared" si="28"/>
        <v>0</v>
      </c>
      <c r="M41" s="16">
        <f t="shared" si="28"/>
        <v>0</v>
      </c>
      <c r="N41" s="16">
        <f t="shared" si="28"/>
        <v>0</v>
      </c>
      <c r="O41" s="16">
        <f t="shared" si="28"/>
        <v>0</v>
      </c>
      <c r="P41" s="16">
        <f t="shared" si="28"/>
        <v>0</v>
      </c>
      <c r="Q41" s="16">
        <f t="shared" si="28"/>
        <v>0</v>
      </c>
      <c r="R41" s="16">
        <f t="shared" si="28"/>
        <v>0</v>
      </c>
      <c r="S41" s="16">
        <f t="shared" si="28"/>
        <v>0</v>
      </c>
      <c r="T41" s="16">
        <f t="shared" si="28"/>
        <v>0</v>
      </c>
      <c r="U41" s="16">
        <f t="shared" si="28"/>
        <v>0</v>
      </c>
      <c r="V41" s="16">
        <f t="shared" si="28"/>
        <v>0</v>
      </c>
      <c r="W41" s="16">
        <f t="shared" si="28"/>
        <v>0</v>
      </c>
      <c r="X41" s="16">
        <f t="shared" si="28"/>
        <v>0</v>
      </c>
      <c r="Y41" s="16">
        <f t="shared" si="28"/>
        <v>0</v>
      </c>
      <c r="Z41" s="16">
        <f t="shared" si="28"/>
        <v>0</v>
      </c>
      <c r="AA41" s="16">
        <f t="shared" si="28"/>
        <v>0</v>
      </c>
      <c r="AB41" s="16">
        <f t="shared" si="28"/>
        <v>0</v>
      </c>
      <c r="AC41" s="16">
        <f t="shared" si="28"/>
        <v>0</v>
      </c>
      <c r="AD41" s="16">
        <f t="shared" si="28"/>
        <v>0</v>
      </c>
      <c r="AE41" s="16">
        <f t="shared" si="28"/>
        <v>0</v>
      </c>
      <c r="AF41" s="16">
        <f t="shared" si="28"/>
        <v>0</v>
      </c>
    </row>
    <row r="42" spans="2:32" x14ac:dyDescent="0.25">
      <c r="C42" s="13"/>
      <c r="D42" s="13"/>
      <c r="E42" s="13"/>
      <c r="F42" s="63"/>
      <c r="G42" s="63"/>
      <c r="H42" s="63"/>
      <c r="I42" s="16"/>
      <c r="J42" s="63"/>
      <c r="K42" s="63"/>
      <c r="L42" s="63"/>
      <c r="M42" s="63"/>
      <c r="N42" s="63"/>
      <c r="O42" s="63"/>
      <c r="P42" s="63"/>
      <c r="Q42" s="63"/>
      <c r="R42" s="17"/>
      <c r="S42" s="17"/>
      <c r="T42" s="17"/>
      <c r="U42" s="17"/>
      <c r="V42" s="17"/>
      <c r="W42" s="17"/>
    </row>
    <row r="43" spans="2:32" x14ac:dyDescent="0.25">
      <c r="B43" t="s">
        <v>2</v>
      </c>
      <c r="C43" s="13"/>
      <c r="D43" s="13"/>
      <c r="E43" s="13"/>
      <c r="F43" s="74">
        <f>F28</f>
        <v>0</v>
      </c>
      <c r="G43" s="74">
        <f>G28</f>
        <v>0</v>
      </c>
      <c r="H43" s="74">
        <f t="shared" ref="H43:AF43" si="29">H28</f>
        <v>53551313.642026693</v>
      </c>
      <c r="I43" s="74">
        <f t="shared" si="29"/>
        <v>82335144.724616036</v>
      </c>
      <c r="J43" s="74">
        <f t="shared" si="29"/>
        <v>112524697.79030858</v>
      </c>
      <c r="K43" s="74">
        <f t="shared" si="29"/>
        <v>144172269.04383284</v>
      </c>
      <c r="L43" s="74">
        <f t="shared" si="29"/>
        <v>147776575.76992866</v>
      </c>
      <c r="M43" s="74">
        <f t="shared" si="29"/>
        <v>151470990.16417685</v>
      </c>
      <c r="N43" s="74">
        <f t="shared" si="29"/>
        <v>155257764.91828126</v>
      </c>
      <c r="O43" s="74">
        <f t="shared" si="29"/>
        <v>159139209.04123828</v>
      </c>
      <c r="P43" s="74">
        <f t="shared" si="29"/>
        <v>163117689.26726919</v>
      </c>
      <c r="Q43" s="74">
        <f t="shared" si="29"/>
        <v>167195631.4989509</v>
      </c>
      <c r="R43" s="74">
        <f t="shared" si="29"/>
        <v>171375522.28642467</v>
      </c>
      <c r="S43" s="74">
        <f t="shared" si="29"/>
        <v>175659910.34358528</v>
      </c>
      <c r="T43" s="74">
        <f t="shared" si="29"/>
        <v>180051408.10217491</v>
      </c>
      <c r="U43" s="74">
        <f t="shared" si="29"/>
        <v>184552693.30472925</v>
      </c>
      <c r="V43" s="74">
        <f t="shared" si="29"/>
        <v>189166510.63734746</v>
      </c>
      <c r="W43" s="74">
        <f t="shared" si="29"/>
        <v>193895673.40328112</v>
      </c>
      <c r="X43" s="74">
        <f t="shared" si="29"/>
        <v>198743065.23836315</v>
      </c>
      <c r="Y43" s="74">
        <f t="shared" si="29"/>
        <v>203711641.86932218</v>
      </c>
      <c r="Z43" s="74">
        <f t="shared" si="29"/>
        <v>208804432.91605523</v>
      </c>
      <c r="AA43" s="74">
        <f t="shared" si="29"/>
        <v>214024543.7389566</v>
      </c>
      <c r="AB43" s="74">
        <f t="shared" si="29"/>
        <v>219375157.33243048</v>
      </c>
      <c r="AC43" s="74">
        <f t="shared" si="29"/>
        <v>224859536.26574123</v>
      </c>
      <c r="AD43" s="74">
        <f t="shared" si="29"/>
        <v>230481024.67238474</v>
      </c>
      <c r="AE43" s="74">
        <f t="shared" si="29"/>
        <v>236243050.28919435</v>
      </c>
      <c r="AF43" s="74">
        <f t="shared" si="29"/>
        <v>242149126.54642418</v>
      </c>
    </row>
    <row r="44" spans="2:32" x14ac:dyDescent="0.25">
      <c r="B44" t="s">
        <v>4</v>
      </c>
      <c r="C44" s="13"/>
      <c r="D44" s="13"/>
      <c r="E44" s="13"/>
      <c r="F44" s="75">
        <f>F34</f>
        <v>0</v>
      </c>
      <c r="G44" s="75">
        <f>G34</f>
        <v>0</v>
      </c>
      <c r="H44" s="75">
        <f t="shared" ref="H44:AF44" si="30">H34</f>
        <v>40697850.5</v>
      </c>
      <c r="I44" s="75">
        <f t="shared" si="30"/>
        <v>41788956.08124999</v>
      </c>
      <c r="J44" s="75">
        <f t="shared" si="30"/>
        <v>42909180.784999989</v>
      </c>
      <c r="K44" s="75">
        <f t="shared" si="30"/>
        <v>44059298.626386702</v>
      </c>
      <c r="L44" s="75">
        <f t="shared" si="30"/>
        <v>45160781.092046373</v>
      </c>
      <c r="M44" s="75">
        <f t="shared" si="30"/>
        <v>46289800.619347528</v>
      </c>
      <c r="N44" s="75">
        <f t="shared" si="30"/>
        <v>47447045.634831205</v>
      </c>
      <c r="O44" s="75">
        <f t="shared" si="30"/>
        <v>48633221.775701977</v>
      </c>
      <c r="P44" s="75">
        <f t="shared" si="30"/>
        <v>49849052.320094518</v>
      </c>
      <c r="Q44" s="75">
        <f t="shared" si="30"/>
        <v>51095278.628096879</v>
      </c>
      <c r="R44" s="75">
        <f t="shared" si="30"/>
        <v>52372660.5937993</v>
      </c>
      <c r="S44" s="75">
        <f t="shared" si="30"/>
        <v>53681977.108644284</v>
      </c>
      <c r="T44" s="75">
        <f t="shared" si="30"/>
        <v>55024026.536360383</v>
      </c>
      <c r="U44" s="75">
        <f t="shared" si="30"/>
        <v>56399627.199769385</v>
      </c>
      <c r="V44" s="75">
        <f t="shared" si="30"/>
        <v>57809617.879763611</v>
      </c>
      <c r="W44" s="75">
        <f t="shared" si="30"/>
        <v>59254858.326757699</v>
      </c>
      <c r="X44" s="75">
        <f t="shared" si="30"/>
        <v>60736229.784926631</v>
      </c>
      <c r="Y44" s="75">
        <f t="shared" si="30"/>
        <v>62254635.529549792</v>
      </c>
      <c r="Z44" s="75">
        <f t="shared" si="30"/>
        <v>63811001.417788535</v>
      </c>
      <c r="AA44" s="75">
        <f t="shared" si="30"/>
        <v>65406276.453233235</v>
      </c>
      <c r="AB44" s="75">
        <f t="shared" si="30"/>
        <v>67041433.364564061</v>
      </c>
      <c r="AC44" s="75">
        <f t="shared" si="30"/>
        <v>68717469.198678166</v>
      </c>
      <c r="AD44" s="75">
        <f t="shared" si="30"/>
        <v>70435405.928645119</v>
      </c>
      <c r="AE44" s="75">
        <f t="shared" si="30"/>
        <v>72196291.076861218</v>
      </c>
      <c r="AF44" s="75">
        <f t="shared" si="30"/>
        <v>74001198.353782758</v>
      </c>
    </row>
    <row r="45" spans="2:32" x14ac:dyDescent="0.25">
      <c r="B45" t="s">
        <v>22</v>
      </c>
      <c r="C45" s="13"/>
      <c r="D45" s="13"/>
      <c r="E45" s="13"/>
      <c r="F45" s="72">
        <f>F43-F44</f>
        <v>0</v>
      </c>
      <c r="G45" s="72">
        <f>G43-G44</f>
        <v>0</v>
      </c>
      <c r="H45" s="72">
        <f t="shared" ref="H45:AF45" si="31">H43-H44</f>
        <v>12853463.142026693</v>
      </c>
      <c r="I45" s="72">
        <f t="shared" si="31"/>
        <v>40546188.643366046</v>
      </c>
      <c r="J45" s="72">
        <f t="shared" si="31"/>
        <v>69615517.005308598</v>
      </c>
      <c r="K45" s="72">
        <f t="shared" si="31"/>
        <v>100112970.41744614</v>
      </c>
      <c r="L45" s="72">
        <f t="shared" si="31"/>
        <v>102615794.67788228</v>
      </c>
      <c r="M45" s="72">
        <f t="shared" si="31"/>
        <v>105181189.54482932</v>
      </c>
      <c r="N45" s="72">
        <f t="shared" si="31"/>
        <v>107810719.28345005</v>
      </c>
      <c r="O45" s="72">
        <f t="shared" si="31"/>
        <v>110505987.26553631</v>
      </c>
      <c r="P45" s="72">
        <f t="shared" si="31"/>
        <v>113268636.94717467</v>
      </c>
      <c r="Q45" s="72">
        <f t="shared" si="31"/>
        <v>116100352.87085402</v>
      </c>
      <c r="R45" s="72">
        <f t="shared" si="31"/>
        <v>119002861.69262537</v>
      </c>
      <c r="S45" s="72">
        <f t="shared" si="31"/>
        <v>121977933.23494101</v>
      </c>
      <c r="T45" s="72">
        <f t="shared" si="31"/>
        <v>125027381.56581452</v>
      </c>
      <c r="U45" s="72">
        <f t="shared" si="31"/>
        <v>128153066.10495988</v>
      </c>
      <c r="V45" s="72">
        <f t="shared" si="31"/>
        <v>131356892.75758386</v>
      </c>
      <c r="W45" s="72">
        <f t="shared" si="31"/>
        <v>134640815.07652342</v>
      </c>
      <c r="X45" s="72">
        <f t="shared" si="31"/>
        <v>138006835.45343652</v>
      </c>
      <c r="Y45" s="72">
        <f t="shared" si="31"/>
        <v>141457006.3397724</v>
      </c>
      <c r="Z45" s="72">
        <f t="shared" si="31"/>
        <v>144993431.4982667</v>
      </c>
      <c r="AA45" s="72">
        <f t="shared" si="31"/>
        <v>148618267.28572336</v>
      </c>
      <c r="AB45" s="72">
        <f t="shared" si="31"/>
        <v>152333723.96786642</v>
      </c>
      <c r="AC45" s="72">
        <f t="shared" si="31"/>
        <v>156142067.06706306</v>
      </c>
      <c r="AD45" s="72">
        <f t="shared" si="31"/>
        <v>160045618.7437396</v>
      </c>
      <c r="AE45" s="72">
        <f t="shared" si="31"/>
        <v>164046759.21233314</v>
      </c>
      <c r="AF45" s="72">
        <f t="shared" si="31"/>
        <v>168147928.19264144</v>
      </c>
    </row>
    <row r="46" spans="2:32" x14ac:dyDescent="0.25">
      <c r="B46" t="s">
        <v>6</v>
      </c>
      <c r="C46" s="13"/>
      <c r="D46" s="13"/>
      <c r="E46" s="13"/>
      <c r="F46" s="73">
        <f t="shared" ref="F46" si="32">F62</f>
        <v>0</v>
      </c>
      <c r="G46" s="73">
        <f>G62</f>
        <v>0</v>
      </c>
      <c r="H46" s="73">
        <f>IF(H62&lt;0,0,H62)</f>
        <v>0</v>
      </c>
      <c r="I46" s="73">
        <f t="shared" ref="I46:AF46" si="33">IF(I62&lt;0,0,I62)</f>
        <v>0</v>
      </c>
      <c r="J46" s="73">
        <f t="shared" si="33"/>
        <v>2272139.9525594921</v>
      </c>
      <c r="K46" s="73">
        <f t="shared" si="33"/>
        <v>22627308.221121736</v>
      </c>
      <c r="L46" s="73">
        <f t="shared" si="33"/>
        <v>23553353.197483111</v>
      </c>
      <c r="M46" s="73">
        <f t="shared" si="33"/>
        <v>24502549.298253514</v>
      </c>
      <c r="N46" s="73">
        <f t="shared" si="33"/>
        <v>25475475.301543187</v>
      </c>
      <c r="O46" s="73">
        <f t="shared" si="33"/>
        <v>26472724.454915095</v>
      </c>
      <c r="P46" s="73">
        <f t="shared" si="33"/>
        <v>27494904.837121289</v>
      </c>
      <c r="Q46" s="73">
        <f t="shared" si="33"/>
        <v>28542639.728882652</v>
      </c>
      <c r="R46" s="73">
        <f t="shared" si="33"/>
        <v>29616567.992938049</v>
      </c>
      <c r="S46" s="73">
        <f t="shared" si="33"/>
        <v>30717344.463594835</v>
      </c>
      <c r="T46" s="73">
        <f t="shared" si="33"/>
        <v>31845640.346018035</v>
      </c>
      <c r="U46" s="73">
        <f t="shared" si="33"/>
        <v>33002143.625501815</v>
      </c>
      <c r="V46" s="73">
        <f t="shared" si="33"/>
        <v>34187559.48697269</v>
      </c>
      <c r="W46" s="73">
        <f t="shared" si="33"/>
        <v>49817101.578313664</v>
      </c>
      <c r="X46" s="73">
        <f t="shared" si="33"/>
        <v>51062529.117771514</v>
      </c>
      <c r="Y46" s="73">
        <f t="shared" si="33"/>
        <v>52339092.345715791</v>
      </c>
      <c r="Z46" s="73">
        <f t="shared" si="33"/>
        <v>53647569.654358678</v>
      </c>
      <c r="AA46" s="73">
        <f t="shared" si="33"/>
        <v>54988758.895717643</v>
      </c>
      <c r="AB46" s="73">
        <f t="shared" si="33"/>
        <v>56363477.868110575</v>
      </c>
      <c r="AC46" s="73">
        <f t="shared" si="33"/>
        <v>57772564.814813331</v>
      </c>
      <c r="AD46" s="73">
        <f t="shared" si="33"/>
        <v>59216878.935183652</v>
      </c>
      <c r="AE46" s="73">
        <f t="shared" si="33"/>
        <v>60697300.908563264</v>
      </c>
      <c r="AF46" s="73">
        <f t="shared" si="33"/>
        <v>62214733.431277335</v>
      </c>
    </row>
    <row r="47" spans="2:32" x14ac:dyDescent="0.25">
      <c r="B47" t="s">
        <v>13</v>
      </c>
      <c r="C47" s="13"/>
      <c r="D47" s="13"/>
      <c r="E47" s="13"/>
      <c r="F47" s="72">
        <f>-F41</f>
        <v>-414500000</v>
      </c>
      <c r="G47" s="72"/>
      <c r="H47" s="72">
        <f>H45-H46</f>
        <v>12853463.142026693</v>
      </c>
      <c r="I47" s="72">
        <f t="shared" ref="I47:AF47" si="34">I45-I46</f>
        <v>40546188.643366046</v>
      </c>
      <c r="J47" s="72">
        <f t="shared" si="34"/>
        <v>67343377.052749112</v>
      </c>
      <c r="K47" s="72">
        <f t="shared" si="34"/>
        <v>77485662.196324408</v>
      </c>
      <c r="L47" s="72">
        <f t="shared" si="34"/>
        <v>79062441.480399176</v>
      </c>
      <c r="M47" s="72">
        <f t="shared" si="34"/>
        <v>80678640.246575803</v>
      </c>
      <c r="N47" s="72">
        <f t="shared" si="34"/>
        <v>82335243.981906861</v>
      </c>
      <c r="O47" s="72">
        <f t="shared" si="34"/>
        <v>84033262.810621217</v>
      </c>
      <c r="P47" s="72">
        <f t="shared" si="34"/>
        <v>85773732.110053375</v>
      </c>
      <c r="Q47" s="72">
        <f t="shared" si="34"/>
        <v>87557713.141971365</v>
      </c>
      <c r="R47" s="72">
        <f t="shared" si="34"/>
        <v>89386293.699687332</v>
      </c>
      <c r="S47" s="72">
        <f t="shared" si="34"/>
        <v>91260588.771346167</v>
      </c>
      <c r="T47" s="72">
        <f t="shared" si="34"/>
        <v>93181741.219796494</v>
      </c>
      <c r="U47" s="72">
        <f t="shared" si="34"/>
        <v>95150922.479458064</v>
      </c>
      <c r="V47" s="72">
        <f t="shared" si="34"/>
        <v>97169333.270611167</v>
      </c>
      <c r="W47" s="72">
        <f t="shared" si="34"/>
        <v>84823713.49820976</v>
      </c>
      <c r="X47" s="72">
        <f t="shared" si="34"/>
        <v>86944306.335665017</v>
      </c>
      <c r="Y47" s="72">
        <f t="shared" si="34"/>
        <v>89117913.994056612</v>
      </c>
      <c r="Z47" s="72">
        <f t="shared" si="34"/>
        <v>91345861.843908012</v>
      </c>
      <c r="AA47" s="72">
        <f t="shared" si="34"/>
        <v>93629508.390005708</v>
      </c>
      <c r="AB47" s="72">
        <f t="shared" si="34"/>
        <v>95970246.099755853</v>
      </c>
      <c r="AC47" s="72">
        <f t="shared" si="34"/>
        <v>98369502.252249733</v>
      </c>
      <c r="AD47" s="72">
        <f t="shared" si="34"/>
        <v>100828739.80855596</v>
      </c>
      <c r="AE47" s="72">
        <f t="shared" si="34"/>
        <v>103349458.30376989</v>
      </c>
      <c r="AF47" s="72">
        <f t="shared" si="34"/>
        <v>105933194.7613641</v>
      </c>
    </row>
    <row r="48" spans="2:32" x14ac:dyDescent="0.25">
      <c r="B48" s="12" t="s">
        <v>16</v>
      </c>
      <c r="C48" s="13"/>
      <c r="D48" s="13"/>
      <c r="E48" s="13"/>
      <c r="F48" s="72">
        <f>F47/F19</f>
        <v>-414500000</v>
      </c>
      <c r="G48" s="72">
        <f>-G41</f>
        <v>-451871249.99999994</v>
      </c>
      <c r="H48" s="72">
        <f t="shared" ref="H48:AF48" si="35">H47</f>
        <v>12853463.142026693</v>
      </c>
      <c r="I48" s="72">
        <f t="shared" si="35"/>
        <v>40546188.643366046</v>
      </c>
      <c r="J48" s="72">
        <f t="shared" si="35"/>
        <v>67343377.052749112</v>
      </c>
      <c r="K48" s="72">
        <f t="shared" si="35"/>
        <v>77485662.196324408</v>
      </c>
      <c r="L48" s="72">
        <f t="shared" si="35"/>
        <v>79062441.480399176</v>
      </c>
      <c r="M48" s="72">
        <f t="shared" si="35"/>
        <v>80678640.246575803</v>
      </c>
      <c r="N48" s="72">
        <f t="shared" si="35"/>
        <v>82335243.981906861</v>
      </c>
      <c r="O48" s="72">
        <f t="shared" si="35"/>
        <v>84033262.810621217</v>
      </c>
      <c r="P48" s="72">
        <f t="shared" si="35"/>
        <v>85773732.110053375</v>
      </c>
      <c r="Q48" s="72">
        <f t="shared" si="35"/>
        <v>87557713.141971365</v>
      </c>
      <c r="R48" s="72">
        <f t="shared" si="35"/>
        <v>89386293.699687332</v>
      </c>
      <c r="S48" s="72">
        <f t="shared" si="35"/>
        <v>91260588.771346167</v>
      </c>
      <c r="T48" s="72">
        <f t="shared" si="35"/>
        <v>93181741.219796494</v>
      </c>
      <c r="U48" s="72">
        <f t="shared" si="35"/>
        <v>95150922.479458064</v>
      </c>
      <c r="V48" s="72">
        <f t="shared" si="35"/>
        <v>97169333.270611167</v>
      </c>
      <c r="W48" s="72">
        <f t="shared" si="35"/>
        <v>84823713.49820976</v>
      </c>
      <c r="X48" s="72">
        <f t="shared" si="35"/>
        <v>86944306.335665017</v>
      </c>
      <c r="Y48" s="72">
        <f t="shared" si="35"/>
        <v>89117913.994056612</v>
      </c>
      <c r="Z48" s="72">
        <f t="shared" si="35"/>
        <v>91345861.843908012</v>
      </c>
      <c r="AA48" s="72">
        <f t="shared" si="35"/>
        <v>93629508.390005708</v>
      </c>
      <c r="AB48" s="72">
        <f t="shared" si="35"/>
        <v>95970246.099755853</v>
      </c>
      <c r="AC48" s="72">
        <f t="shared" si="35"/>
        <v>98369502.252249733</v>
      </c>
      <c r="AD48" s="72">
        <f t="shared" si="35"/>
        <v>100828739.80855596</v>
      </c>
      <c r="AE48" s="72">
        <f t="shared" si="35"/>
        <v>103349458.30376989</v>
      </c>
      <c r="AF48" s="72">
        <f t="shared" si="35"/>
        <v>105933194.7613641</v>
      </c>
    </row>
    <row r="49" spans="2:32" x14ac:dyDescent="0.25">
      <c r="B49" s="12" t="s">
        <v>17</v>
      </c>
      <c r="C49" s="13"/>
      <c r="D49" s="13"/>
      <c r="E49" s="13"/>
      <c r="F49" s="72">
        <f>F47/F17</f>
        <v>-414500000</v>
      </c>
      <c r="G49" s="72">
        <f>G48/G17</f>
        <v>-440850000</v>
      </c>
      <c r="H49" s="72">
        <f>H47/H17</f>
        <v>12234111.259513807</v>
      </c>
      <c r="I49" s="72">
        <f t="shared" ref="I49:Q49" si="36">I47/I17</f>
        <v>37651166.889270723</v>
      </c>
      <c r="J49" s="72">
        <f t="shared" si="36"/>
        <v>61009775.863931082</v>
      </c>
      <c r="K49" s="72">
        <f t="shared" si="36"/>
        <v>68486034.76048401</v>
      </c>
      <c r="L49" s="72">
        <f t="shared" si="36"/>
        <v>68175295.503734007</v>
      </c>
      <c r="M49" s="72">
        <f t="shared" si="36"/>
        <v>67872135.253246203</v>
      </c>
      <c r="N49" s="72">
        <f t="shared" si="36"/>
        <v>67576369.155209333</v>
      </c>
      <c r="O49" s="72">
        <f t="shared" si="36"/>
        <v>67287816.864441663</v>
      </c>
      <c r="P49" s="72">
        <f t="shared" si="36"/>
        <v>67006302.434424393</v>
      </c>
      <c r="Q49" s="72">
        <f t="shared" si="36"/>
        <v>66731654.210017309</v>
      </c>
      <c r="R49" s="72">
        <f t="shared" ref="R49:AF49" si="37">R47/R17</f>
        <v>66463704.722790912</v>
      </c>
      <c r="S49" s="72">
        <f t="shared" si="37"/>
        <v>66202290.588911474</v>
      </c>
      <c r="T49" s="72">
        <f t="shared" si="37"/>
        <v>65947252.409516916</v>
      </c>
      <c r="U49" s="72">
        <f t="shared" si="37"/>
        <v>65698434.673522219</v>
      </c>
      <c r="V49" s="72">
        <f t="shared" si="37"/>
        <v>65455685.662795678</v>
      </c>
      <c r="W49" s="72">
        <f t="shared" si="37"/>
        <v>55745725.23373425</v>
      </c>
      <c r="X49" s="72">
        <f t="shared" si="37"/>
        <v>55745725.233734258</v>
      </c>
      <c r="Y49" s="72">
        <f t="shared" si="37"/>
        <v>55745725.23373425</v>
      </c>
      <c r="Z49" s="72">
        <f t="shared" si="37"/>
        <v>55745725.233734243</v>
      </c>
      <c r="AA49" s="72">
        <f t="shared" si="37"/>
        <v>55745725.23373425</v>
      </c>
      <c r="AB49" s="72">
        <f t="shared" si="37"/>
        <v>55745725.233734258</v>
      </c>
      <c r="AC49" s="72">
        <f t="shared" si="37"/>
        <v>55745725.23373425</v>
      </c>
      <c r="AD49" s="72">
        <f t="shared" si="37"/>
        <v>55745725.233734243</v>
      </c>
      <c r="AE49" s="72">
        <f t="shared" si="37"/>
        <v>55745725.233734265</v>
      </c>
      <c r="AF49" s="72">
        <f t="shared" si="37"/>
        <v>55745725.23373425</v>
      </c>
    </row>
    <row r="50" spans="2:32" x14ac:dyDescent="0.25">
      <c r="B50" t="s">
        <v>51</v>
      </c>
      <c r="C50" s="19">
        <f>SUM(G50:AF50)</f>
        <v>414500000.00000006</v>
      </c>
      <c r="D50" s="13"/>
      <c r="E50" s="13"/>
      <c r="F50" s="72"/>
      <c r="G50" s="72">
        <f>G48/G19</f>
        <v>-422309579.43925226</v>
      </c>
      <c r="H50" s="72">
        <f>H48/H19</f>
        <v>11226712.500678394</v>
      </c>
      <c r="I50" s="72">
        <f t="shared" ref="I50:AF50" si="38">I48/I19</f>
        <v>33097767.705595676</v>
      </c>
      <c r="J50" s="72">
        <f t="shared" si="38"/>
        <v>51375939.916653469</v>
      </c>
      <c r="K50" s="72">
        <f t="shared" si="38"/>
        <v>55246206.254119441</v>
      </c>
      <c r="L50" s="72">
        <f t="shared" si="38"/>
        <v>52682643.076412059</v>
      </c>
      <c r="M50" s="72">
        <f t="shared" si="38"/>
        <v>50242602.389154851</v>
      </c>
      <c r="N50" s="72">
        <f t="shared" si="38"/>
        <v>47919861.62405356</v>
      </c>
      <c r="O50" s="72">
        <f t="shared" si="38"/>
        <v>45708527.142138481</v>
      </c>
      <c r="P50" s="72">
        <f t="shared" si="38"/>
        <v>43603016.001898527</v>
      </c>
      <c r="Q50" s="72">
        <f t="shared" si="38"/>
        <v>41598038.781921305</v>
      </c>
      <c r="R50" s="72">
        <f t="shared" si="38"/>
        <v>39688583.394865945</v>
      </c>
      <c r="S50" s="72">
        <f t="shared" si="38"/>
        <v>37869899.833484516</v>
      </c>
      <c r="T50" s="72">
        <f t="shared" si="38"/>
        <v>36137485.793051787</v>
      </c>
      <c r="U50" s="72">
        <f t="shared" si="38"/>
        <v>34487073.117978275</v>
      </c>
      <c r="V50" s="72">
        <f t="shared" si="38"/>
        <v>32914615.023584019</v>
      </c>
      <c r="W50" s="72">
        <f t="shared" si="38"/>
        <v>26853015.397598043</v>
      </c>
      <c r="X50" s="72">
        <f t="shared" si="38"/>
        <v>25723682.974334575</v>
      </c>
      <c r="Y50" s="72">
        <f t="shared" si="38"/>
        <v>24641845.839899931</v>
      </c>
      <c r="Z50" s="72">
        <f t="shared" si="38"/>
        <v>23605506.528876096</v>
      </c>
      <c r="AA50" s="72">
        <f t="shared" si="38"/>
        <v>22612751.581399996</v>
      </c>
      <c r="AB50" s="72">
        <f t="shared" si="38"/>
        <v>21661748.010219622</v>
      </c>
      <c r="AC50" s="72">
        <f t="shared" si="38"/>
        <v>20750739.916331872</v>
      </c>
      <c r="AD50" s="72">
        <f t="shared" si="38"/>
        <v>19878045.246953424</v>
      </c>
      <c r="AE50" s="72">
        <f t="shared" si="38"/>
        <v>19042052.689838562</v>
      </c>
      <c r="AF50" s="72">
        <f t="shared" si="38"/>
        <v>18241218.698209833</v>
      </c>
    </row>
    <row r="51" spans="2:32" x14ac:dyDescent="0.25">
      <c r="B51" t="s">
        <v>18</v>
      </c>
      <c r="C51" s="19">
        <f>NPV(C19,G48:AF48)+F48</f>
        <v>0</v>
      </c>
      <c r="D51" s="13"/>
      <c r="E51" s="13"/>
      <c r="F51" s="76"/>
      <c r="G51" s="76"/>
      <c r="H51" s="76"/>
      <c r="I51" s="76"/>
      <c r="J51" s="76"/>
      <c r="K51" s="76"/>
      <c r="L51" s="76"/>
      <c r="M51" s="77"/>
      <c r="N51" s="77"/>
      <c r="O51" s="76"/>
      <c r="P51" s="76"/>
      <c r="Q51" s="76"/>
      <c r="R51" s="16"/>
    </row>
    <row r="52" spans="2:32" x14ac:dyDescent="0.25">
      <c r="B52" t="s">
        <v>15</v>
      </c>
      <c r="C52" s="20">
        <f>IRR(F48:AF48,0.1)</f>
        <v>7.0000000000000062E-2</v>
      </c>
      <c r="D52" s="13"/>
      <c r="E52" s="13"/>
      <c r="F52" s="59"/>
      <c r="G52" s="59"/>
      <c r="H52" s="59"/>
      <c r="I52" s="59"/>
      <c r="J52" s="59"/>
      <c r="K52" s="59"/>
      <c r="L52" s="59"/>
      <c r="M52" s="64"/>
      <c r="N52" s="64"/>
      <c r="O52" s="59"/>
      <c r="P52" s="59"/>
      <c r="Q52" s="59"/>
      <c r="R52" s="16"/>
    </row>
    <row r="53" spans="2:32" x14ac:dyDescent="0.25">
      <c r="C53" s="20"/>
      <c r="D53" s="13"/>
      <c r="E53" s="13"/>
      <c r="F53" s="59"/>
      <c r="G53" s="59"/>
      <c r="H53" s="59"/>
      <c r="I53" s="59"/>
      <c r="J53" s="59"/>
      <c r="K53" s="59"/>
      <c r="L53" s="59"/>
      <c r="M53" s="64"/>
      <c r="N53" s="64"/>
      <c r="O53" s="59"/>
      <c r="P53" s="59"/>
      <c r="Q53" s="59"/>
      <c r="R53" s="16"/>
    </row>
    <row r="54" spans="2:32" x14ac:dyDescent="0.25">
      <c r="B54" t="s">
        <v>52</v>
      </c>
      <c r="C54" s="20"/>
      <c r="F54" s="72">
        <f>F48</f>
        <v>-414500000</v>
      </c>
      <c r="G54" s="72">
        <f>F54+G48</f>
        <v>-866371250</v>
      </c>
      <c r="H54" s="72">
        <f t="shared" ref="H54:K54" si="39">G54+H48</f>
        <v>-853517786.85797334</v>
      </c>
      <c r="I54" s="72">
        <f t="shared" si="39"/>
        <v>-812971598.21460724</v>
      </c>
      <c r="J54" s="72">
        <f t="shared" si="39"/>
        <v>-745628221.16185808</v>
      </c>
      <c r="K54" s="72">
        <f t="shared" si="39"/>
        <v>-668142558.96553373</v>
      </c>
      <c r="L54" s="72">
        <f>K54+L48</f>
        <v>-589080117.4851346</v>
      </c>
      <c r="M54" s="72">
        <f t="shared" ref="M54:N54" si="40">L54+M48</f>
        <v>-508401477.23855877</v>
      </c>
      <c r="N54" s="72">
        <f t="shared" si="40"/>
        <v>-426066233.25665188</v>
      </c>
      <c r="O54" s="72">
        <f t="shared" ref="O54:P54" si="41">N54+O48</f>
        <v>-342032970.44603068</v>
      </c>
      <c r="P54" s="72">
        <f t="shared" si="41"/>
        <v>-256259238.33597732</v>
      </c>
      <c r="Q54" s="72">
        <f t="shared" ref="Q54:R54" si="42">P54+Q48</f>
        <v>-168701525.19400597</v>
      </c>
      <c r="R54" s="72">
        <f t="shared" si="42"/>
        <v>-79315231.494318634</v>
      </c>
      <c r="S54" s="72">
        <f t="shared" ref="S54:T54" si="43">R54+S48</f>
        <v>11945357.277027532</v>
      </c>
      <c r="T54" s="72">
        <f t="shared" si="43"/>
        <v>105127098.49682403</v>
      </c>
      <c r="U54" s="72">
        <f t="shared" ref="U54:V54" si="44">T54+U48</f>
        <v>200278020.97628209</v>
      </c>
      <c r="V54" s="72">
        <f t="shared" si="44"/>
        <v>297447354.24689329</v>
      </c>
      <c r="W54" s="72">
        <f t="shared" ref="W54:X54" si="45">V54+W48</f>
        <v>382271067.74510306</v>
      </c>
      <c r="X54" s="72">
        <f t="shared" si="45"/>
        <v>469215374.08076811</v>
      </c>
      <c r="Y54" s="72">
        <f t="shared" ref="Y54:Z54" si="46">X54+Y48</f>
        <v>558333288.07482469</v>
      </c>
      <c r="Z54" s="72">
        <f t="shared" si="46"/>
        <v>649679149.91873264</v>
      </c>
      <c r="AA54" s="72">
        <f t="shared" ref="AA54:AB54" si="47">Z54+AA48</f>
        <v>743308658.30873835</v>
      </c>
      <c r="AB54" s="72">
        <f t="shared" si="47"/>
        <v>839278904.40849423</v>
      </c>
      <c r="AC54" s="72">
        <f t="shared" ref="AC54:AD54" si="48">AB54+AC48</f>
        <v>937648406.66074395</v>
      </c>
      <c r="AD54" s="72">
        <f t="shared" si="48"/>
        <v>1038477146.4692999</v>
      </c>
      <c r="AE54" s="72">
        <f>AD54+AE48</f>
        <v>1141826604.7730699</v>
      </c>
      <c r="AF54" s="72">
        <f t="shared" ref="AF54" si="49">AE54+AF48</f>
        <v>1247759799.5344338</v>
      </c>
    </row>
    <row r="55" spans="2:32" x14ac:dyDescent="0.25">
      <c r="B55" s="28" t="s">
        <v>29</v>
      </c>
      <c r="C55" s="30">
        <f>SUM(H55:N55)</f>
        <v>0</v>
      </c>
      <c r="D55" s="13"/>
      <c r="E55" s="13" t="s">
        <v>30</v>
      </c>
      <c r="F55" s="59"/>
      <c r="G55" s="59"/>
      <c r="H55" s="65"/>
      <c r="I55" s="65"/>
      <c r="J55" s="65"/>
      <c r="K55" s="65"/>
      <c r="L55" s="65"/>
      <c r="M55" s="65"/>
      <c r="N55" s="65"/>
      <c r="O55" s="59"/>
      <c r="P55" s="59"/>
      <c r="Q55" s="59"/>
      <c r="R55" s="16"/>
    </row>
    <row r="56" spans="2:32" s="2" customFormat="1" x14ac:dyDescent="0.25">
      <c r="B56" s="29" t="s">
        <v>31</v>
      </c>
      <c r="C56" s="49" t="s">
        <v>60</v>
      </c>
      <c r="D56" s="21"/>
      <c r="E56" s="21"/>
      <c r="F56" s="66"/>
      <c r="G56" s="66"/>
      <c r="H56" s="66"/>
      <c r="I56" s="66"/>
      <c r="J56" s="66"/>
      <c r="K56" s="70"/>
      <c r="L56" s="70"/>
      <c r="M56" s="66"/>
      <c r="N56" s="66"/>
      <c r="O56" s="66"/>
      <c r="P56" s="66"/>
      <c r="Q56" s="66"/>
      <c r="R56" s="22"/>
    </row>
    <row r="57" spans="2:32" x14ac:dyDescent="0.25">
      <c r="D57" s="13"/>
      <c r="E57" s="13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16"/>
    </row>
    <row r="58" spans="2:32" x14ac:dyDescent="0.25">
      <c r="B58" s="8" t="s">
        <v>20</v>
      </c>
      <c r="D58" s="13"/>
      <c r="E58" s="13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16"/>
    </row>
    <row r="59" spans="2:32" x14ac:dyDescent="0.25">
      <c r="B59" t="s">
        <v>22</v>
      </c>
      <c r="D59" s="13"/>
      <c r="E59" s="13"/>
      <c r="F59" s="72">
        <f t="shared" ref="F59:G59" si="50">F45</f>
        <v>0</v>
      </c>
      <c r="G59" s="72">
        <f t="shared" si="50"/>
        <v>0</v>
      </c>
      <c r="H59" s="72">
        <f>H45</f>
        <v>12853463.142026693</v>
      </c>
      <c r="I59" s="72">
        <f t="shared" ref="I59:AF59" si="51">I45</f>
        <v>40546188.643366046</v>
      </c>
      <c r="J59" s="72">
        <f t="shared" si="51"/>
        <v>69615517.005308598</v>
      </c>
      <c r="K59" s="72">
        <f t="shared" si="51"/>
        <v>100112970.41744614</v>
      </c>
      <c r="L59" s="72">
        <f t="shared" si="51"/>
        <v>102615794.67788228</v>
      </c>
      <c r="M59" s="72">
        <f t="shared" si="51"/>
        <v>105181189.54482932</v>
      </c>
      <c r="N59" s="72">
        <f t="shared" si="51"/>
        <v>107810719.28345005</v>
      </c>
      <c r="O59" s="72">
        <f t="shared" si="51"/>
        <v>110505987.26553631</v>
      </c>
      <c r="P59" s="72">
        <f t="shared" si="51"/>
        <v>113268636.94717467</v>
      </c>
      <c r="Q59" s="72">
        <f t="shared" si="51"/>
        <v>116100352.87085402</v>
      </c>
      <c r="R59" s="72">
        <f t="shared" si="51"/>
        <v>119002861.69262537</v>
      </c>
      <c r="S59" s="72">
        <f t="shared" si="51"/>
        <v>121977933.23494101</v>
      </c>
      <c r="T59" s="72">
        <f t="shared" si="51"/>
        <v>125027381.56581452</v>
      </c>
      <c r="U59" s="72">
        <f t="shared" si="51"/>
        <v>128153066.10495988</v>
      </c>
      <c r="V59" s="72">
        <f t="shared" si="51"/>
        <v>131356892.75758386</v>
      </c>
      <c r="W59" s="72">
        <f t="shared" si="51"/>
        <v>134640815.07652342</v>
      </c>
      <c r="X59" s="72">
        <f t="shared" si="51"/>
        <v>138006835.45343652</v>
      </c>
      <c r="Y59" s="72">
        <f t="shared" si="51"/>
        <v>141457006.3397724</v>
      </c>
      <c r="Z59" s="72">
        <f t="shared" si="51"/>
        <v>144993431.4982667</v>
      </c>
      <c r="AA59" s="72">
        <f t="shared" si="51"/>
        <v>148618267.28572336</v>
      </c>
      <c r="AB59" s="72">
        <f t="shared" si="51"/>
        <v>152333723.96786642</v>
      </c>
      <c r="AC59" s="72">
        <f t="shared" si="51"/>
        <v>156142067.06706306</v>
      </c>
      <c r="AD59" s="72">
        <f t="shared" si="51"/>
        <v>160045618.7437396</v>
      </c>
      <c r="AE59" s="72">
        <f t="shared" si="51"/>
        <v>164046759.21233314</v>
      </c>
      <c r="AF59" s="72">
        <f t="shared" si="51"/>
        <v>168147928.19264144</v>
      </c>
    </row>
    <row r="60" spans="2:32" x14ac:dyDescent="0.25">
      <c r="B60" t="s">
        <v>7</v>
      </c>
      <c r="C60" s="10">
        <v>15</v>
      </c>
      <c r="D60" s="13" t="s">
        <v>8</v>
      </c>
      <c r="E60" s="13"/>
      <c r="F60" s="73">
        <v>0</v>
      </c>
      <c r="G60" s="73">
        <v>0</v>
      </c>
      <c r="H60" s="78">
        <f>($G40+$F40)/15</f>
        <v>38958083.333333336</v>
      </c>
      <c r="I60" s="78">
        <f t="shared" ref="I60:V60" si="52">($G40+$F40)/15</f>
        <v>38958083.333333336</v>
      </c>
      <c r="J60" s="78">
        <f t="shared" si="52"/>
        <v>38958083.333333336</v>
      </c>
      <c r="K60" s="78">
        <f t="shared" si="52"/>
        <v>38958083.333333336</v>
      </c>
      <c r="L60" s="78">
        <f t="shared" si="52"/>
        <v>38958083.333333336</v>
      </c>
      <c r="M60" s="78">
        <f t="shared" si="52"/>
        <v>38958083.333333336</v>
      </c>
      <c r="N60" s="78">
        <f t="shared" si="52"/>
        <v>38958083.333333336</v>
      </c>
      <c r="O60" s="78">
        <f t="shared" si="52"/>
        <v>38958083.333333336</v>
      </c>
      <c r="P60" s="78">
        <f t="shared" si="52"/>
        <v>38958083.333333336</v>
      </c>
      <c r="Q60" s="78">
        <f t="shared" si="52"/>
        <v>38958083.333333336</v>
      </c>
      <c r="R60" s="78">
        <f t="shared" si="52"/>
        <v>38958083.333333336</v>
      </c>
      <c r="S60" s="78">
        <f t="shared" si="52"/>
        <v>38958083.333333336</v>
      </c>
      <c r="T60" s="78">
        <f t="shared" si="52"/>
        <v>38958083.333333336</v>
      </c>
      <c r="U60" s="78">
        <f t="shared" si="52"/>
        <v>38958083.333333336</v>
      </c>
      <c r="V60" s="78">
        <f t="shared" si="52"/>
        <v>38958083.333333336</v>
      </c>
      <c r="W60" s="78"/>
      <c r="X60" s="78"/>
      <c r="Y60" s="78"/>
      <c r="Z60" s="78"/>
      <c r="AA60" s="78"/>
      <c r="AB60" s="78"/>
      <c r="AC60" s="78"/>
      <c r="AD60" s="78"/>
      <c r="AE60" s="78"/>
      <c r="AF60" s="78"/>
    </row>
    <row r="61" spans="2:32" x14ac:dyDescent="0.25">
      <c r="B61" t="s">
        <v>10</v>
      </c>
      <c r="D61" s="13"/>
      <c r="E61" s="13"/>
      <c r="F61" s="72">
        <f>F59-F60</f>
        <v>0</v>
      </c>
      <c r="G61" s="72">
        <f>G59-G60</f>
        <v>0</v>
      </c>
      <c r="H61" s="72">
        <f>H59-H60+G63</f>
        <v>-26104620.191306643</v>
      </c>
      <c r="I61" s="72">
        <f t="shared" ref="I61:P61" si="53">I59-I60+H63</f>
        <v>-24516514.881273933</v>
      </c>
      <c r="J61" s="72">
        <f t="shared" si="53"/>
        <v>6140918.7907013297</v>
      </c>
      <c r="K61" s="72">
        <f t="shared" si="53"/>
        <v>61154887.084112801</v>
      </c>
      <c r="L61" s="72">
        <f t="shared" si="53"/>
        <v>63657711.344548948</v>
      </c>
      <c r="M61" s="72">
        <f t="shared" si="53"/>
        <v>66223106.211495988</v>
      </c>
      <c r="N61" s="72">
        <f t="shared" si="53"/>
        <v>68852635.950116724</v>
      </c>
      <c r="O61" s="72">
        <f t="shared" si="53"/>
        <v>71547903.932202965</v>
      </c>
      <c r="P61" s="72">
        <f t="shared" si="53"/>
        <v>74310553.613841325</v>
      </c>
      <c r="Q61" s="72">
        <f>Q59-Q60+P63</f>
        <v>77142269.537520677</v>
      </c>
      <c r="R61" s="72">
        <f t="shared" ref="R61:AF61" si="54">R59-R60+Q63</f>
        <v>80044778.35929203</v>
      </c>
      <c r="S61" s="72">
        <f t="shared" si="54"/>
        <v>83019849.901607662</v>
      </c>
      <c r="T61" s="72">
        <f t="shared" si="54"/>
        <v>86069298.232481182</v>
      </c>
      <c r="U61" s="72">
        <f t="shared" si="54"/>
        <v>89194982.771626532</v>
      </c>
      <c r="V61" s="72">
        <f t="shared" si="54"/>
        <v>92398809.424250513</v>
      </c>
      <c r="W61" s="72">
        <f t="shared" si="54"/>
        <v>134640815.07652342</v>
      </c>
      <c r="X61" s="72">
        <f t="shared" si="54"/>
        <v>138006835.45343652</v>
      </c>
      <c r="Y61" s="72">
        <f t="shared" si="54"/>
        <v>141457006.3397724</v>
      </c>
      <c r="Z61" s="72">
        <f t="shared" si="54"/>
        <v>144993431.4982667</v>
      </c>
      <c r="AA61" s="72">
        <f t="shared" si="54"/>
        <v>148618267.28572336</v>
      </c>
      <c r="AB61" s="72">
        <f t="shared" si="54"/>
        <v>152333723.96786642</v>
      </c>
      <c r="AC61" s="72">
        <f t="shared" si="54"/>
        <v>156142067.06706306</v>
      </c>
      <c r="AD61" s="72">
        <f t="shared" si="54"/>
        <v>160045618.7437396</v>
      </c>
      <c r="AE61" s="72">
        <f t="shared" si="54"/>
        <v>164046759.21233314</v>
      </c>
      <c r="AF61" s="72">
        <f t="shared" si="54"/>
        <v>168147928.19264144</v>
      </c>
    </row>
    <row r="62" spans="2:32" x14ac:dyDescent="0.25">
      <c r="B62" t="s">
        <v>23</v>
      </c>
      <c r="C62" s="11">
        <v>0.37</v>
      </c>
      <c r="D62" s="13"/>
      <c r="E62" s="13"/>
      <c r="F62" s="79">
        <f t="shared" ref="F62" si="55">IF($C62*F61&lt;0,0,)</f>
        <v>0</v>
      </c>
      <c r="G62" s="79">
        <f>IF($C62*G61&lt;0,0,)</f>
        <v>0</v>
      </c>
      <c r="H62" s="17">
        <f>H61*C62</f>
        <v>-9658709.4707834572</v>
      </c>
      <c r="I62" s="17">
        <f t="shared" ref="I62:AF62" si="56">$C62*I61</f>
        <v>-9071110.5060713552</v>
      </c>
      <c r="J62" s="17">
        <f t="shared" si="56"/>
        <v>2272139.9525594921</v>
      </c>
      <c r="K62" s="17">
        <f t="shared" si="56"/>
        <v>22627308.221121736</v>
      </c>
      <c r="L62" s="17">
        <f t="shared" si="56"/>
        <v>23553353.197483111</v>
      </c>
      <c r="M62" s="17">
        <f t="shared" si="56"/>
        <v>24502549.298253514</v>
      </c>
      <c r="N62" s="17">
        <f t="shared" si="56"/>
        <v>25475475.301543187</v>
      </c>
      <c r="O62" s="17">
        <f t="shared" si="56"/>
        <v>26472724.454915095</v>
      </c>
      <c r="P62" s="17">
        <f t="shared" si="56"/>
        <v>27494904.837121289</v>
      </c>
      <c r="Q62" s="17">
        <f t="shared" si="56"/>
        <v>28542639.728882652</v>
      </c>
      <c r="R62" s="17">
        <f t="shared" si="56"/>
        <v>29616567.992938049</v>
      </c>
      <c r="S62" s="17">
        <f t="shared" si="56"/>
        <v>30717344.463594835</v>
      </c>
      <c r="T62" s="17">
        <f t="shared" si="56"/>
        <v>31845640.346018035</v>
      </c>
      <c r="U62" s="17">
        <f t="shared" si="56"/>
        <v>33002143.625501815</v>
      </c>
      <c r="V62" s="17">
        <f t="shared" si="56"/>
        <v>34187559.48697269</v>
      </c>
      <c r="W62" s="17">
        <f t="shared" si="56"/>
        <v>49817101.578313664</v>
      </c>
      <c r="X62" s="17">
        <f t="shared" si="56"/>
        <v>51062529.117771514</v>
      </c>
      <c r="Y62" s="17">
        <f t="shared" si="56"/>
        <v>52339092.345715791</v>
      </c>
      <c r="Z62" s="17">
        <f t="shared" si="56"/>
        <v>53647569.654358678</v>
      </c>
      <c r="AA62" s="17">
        <f t="shared" si="56"/>
        <v>54988758.895717643</v>
      </c>
      <c r="AB62" s="17">
        <f t="shared" si="56"/>
        <v>56363477.868110575</v>
      </c>
      <c r="AC62" s="17">
        <f t="shared" si="56"/>
        <v>57772564.814813331</v>
      </c>
      <c r="AD62" s="17">
        <f t="shared" si="56"/>
        <v>59216878.935183652</v>
      </c>
      <c r="AE62" s="17">
        <f t="shared" si="56"/>
        <v>60697300.908563264</v>
      </c>
      <c r="AF62" s="17">
        <f t="shared" si="56"/>
        <v>62214733.431277335</v>
      </c>
    </row>
    <row r="63" spans="2:32" x14ac:dyDescent="0.25">
      <c r="B63" t="s">
        <v>50</v>
      </c>
      <c r="C63" s="11"/>
      <c r="D63" s="13"/>
      <c r="E63" s="13"/>
      <c r="F63" s="17">
        <f>IF(F61&lt;0,F61+E63,0)</f>
        <v>0</v>
      </c>
      <c r="G63" s="17">
        <f>IF(G61&lt;0,G61+F63,0)</f>
        <v>0</v>
      </c>
      <c r="H63" s="17">
        <f>IF(H61&lt;0,H61,0)</f>
        <v>-26104620.191306643</v>
      </c>
      <c r="I63" s="17">
        <f>IF(I61&lt;0,I61,0)</f>
        <v>-24516514.881273933</v>
      </c>
      <c r="J63" s="17">
        <f t="shared" ref="J63:Q63" si="57">IF(J61&lt;0,J61,0)</f>
        <v>0</v>
      </c>
      <c r="K63" s="17">
        <f t="shared" si="57"/>
        <v>0</v>
      </c>
      <c r="L63" s="17">
        <f t="shared" si="57"/>
        <v>0</v>
      </c>
      <c r="M63" s="17">
        <f t="shared" si="57"/>
        <v>0</v>
      </c>
      <c r="N63" s="17">
        <f t="shared" si="57"/>
        <v>0</v>
      </c>
      <c r="O63" s="17">
        <f t="shared" si="57"/>
        <v>0</v>
      </c>
      <c r="P63" s="17">
        <f t="shared" si="57"/>
        <v>0</v>
      </c>
      <c r="Q63" s="17">
        <f t="shared" si="57"/>
        <v>0</v>
      </c>
      <c r="R63" s="17"/>
      <c r="S63" s="17"/>
    </row>
    <row r="64" spans="2:32" x14ac:dyDescent="0.25">
      <c r="C64" s="11"/>
      <c r="D64" s="13"/>
      <c r="E64" s="13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</row>
    <row r="65" spans="2:19" hidden="1" x14ac:dyDescent="0.25">
      <c r="B65" t="s">
        <v>12</v>
      </c>
      <c r="C65" s="11"/>
      <c r="D65" s="13"/>
      <c r="E65" s="13"/>
      <c r="F65" s="17"/>
      <c r="G65" s="17">
        <v>0</v>
      </c>
      <c r="H65" s="17">
        <v>0</v>
      </c>
      <c r="I65" s="17">
        <f>H68</f>
        <v>-26104620.191306643</v>
      </c>
      <c r="J65" s="17">
        <f>I68</f>
        <v>-50621135.072580576</v>
      </c>
      <c r="K65" s="17"/>
      <c r="L65" s="17"/>
      <c r="M65" s="17"/>
      <c r="N65" s="17"/>
      <c r="O65" s="17"/>
      <c r="P65" s="17"/>
      <c r="Q65" s="17"/>
      <c r="R65" s="17"/>
      <c r="S65" s="17"/>
    </row>
    <row r="66" spans="2:19" hidden="1" x14ac:dyDescent="0.25">
      <c r="B66" t="s">
        <v>11</v>
      </c>
      <c r="D66" s="13"/>
      <c r="E66" s="13"/>
      <c r="F66" s="18"/>
      <c r="G66" s="18"/>
      <c r="H66" s="18">
        <v>0</v>
      </c>
      <c r="I66" s="18">
        <v>0</v>
      </c>
      <c r="J66" s="55">
        <f>J67*C62</f>
        <v>-16457680.024295321</v>
      </c>
      <c r="K66" s="18"/>
      <c r="L66" s="18"/>
      <c r="M66" s="18"/>
      <c r="N66" s="18"/>
      <c r="O66" s="18"/>
      <c r="P66" s="18"/>
      <c r="Q66" s="18"/>
      <c r="R66" s="18"/>
      <c r="S66" s="18"/>
    </row>
    <row r="67" spans="2:19" hidden="1" x14ac:dyDescent="0.25">
      <c r="B67" t="s">
        <v>6</v>
      </c>
      <c r="D67" s="13"/>
      <c r="E67" s="13"/>
      <c r="F67" s="17"/>
      <c r="G67" s="17">
        <v>0</v>
      </c>
      <c r="H67" s="56">
        <v>0</v>
      </c>
      <c r="I67">
        <v>0</v>
      </c>
      <c r="J67" s="17">
        <f>I68+J61</f>
        <v>-44480216.281879246</v>
      </c>
      <c r="K67" s="17"/>
      <c r="L67" s="17"/>
      <c r="M67" s="17"/>
      <c r="N67" s="17"/>
      <c r="O67" s="17"/>
      <c r="P67" s="17"/>
      <c r="Q67" s="17"/>
      <c r="R67" s="17"/>
      <c r="S67" s="17"/>
    </row>
    <row r="68" spans="2:19" hidden="1" x14ac:dyDescent="0.25">
      <c r="B68" t="s">
        <v>12</v>
      </c>
      <c r="D68" s="13"/>
      <c r="E68" s="13"/>
      <c r="F68" s="17"/>
      <c r="G68" s="17"/>
      <c r="H68" s="17">
        <f>H61</f>
        <v>-26104620.191306643</v>
      </c>
      <c r="I68" s="17">
        <f>H68+I61</f>
        <v>-50621135.072580576</v>
      </c>
      <c r="J68" s="17"/>
      <c r="K68" s="17"/>
      <c r="L68" s="17"/>
      <c r="M68" s="17"/>
      <c r="N68" s="17"/>
      <c r="O68" s="17"/>
      <c r="P68" s="17"/>
      <c r="Q68" s="17"/>
      <c r="R68" s="17"/>
      <c r="S68" s="17"/>
    </row>
    <row r="69" spans="2:19" x14ac:dyDescent="0.25">
      <c r="D69" s="13"/>
      <c r="E69" s="13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spans="2:19" s="2" customFormat="1" x14ac:dyDescent="0.25">
      <c r="D70" s="21"/>
      <c r="E70" s="21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</row>
    <row r="71" spans="2:19" x14ac:dyDescent="0.25"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2:19" x14ac:dyDescent="0.25">
      <c r="C72" t="s">
        <v>59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2:19" x14ac:dyDescent="0.25"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</sheetData>
  <pageMargins left="0.7" right="0.7" top="0.75" bottom="0.75" header="0.3" footer="0.3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1FFF-4C80-4BB8-A233-C1F57DAD8E8A}">
  <sheetPr>
    <pageSetUpPr fitToPage="1"/>
  </sheetPr>
  <dimension ref="B2:AG74"/>
  <sheetViews>
    <sheetView showGridLines="0" topLeftCell="B1" zoomScaleNormal="100" workbookViewId="0">
      <pane ySplit="14" topLeftCell="A15" activePane="bottomLeft" state="frozenSplit"/>
      <selection pane="bottomLeft" activeCell="C4" sqref="C4"/>
    </sheetView>
  </sheetViews>
  <sheetFormatPr defaultRowHeight="15" x14ac:dyDescent="0.25"/>
  <cols>
    <col min="1" max="1" width="5.85546875" customWidth="1"/>
    <col min="2" max="2" width="30.140625" customWidth="1"/>
    <col min="3" max="3" width="16.140625" customWidth="1"/>
    <col min="4" max="4" width="6.42578125" customWidth="1"/>
    <col min="5" max="5" width="6.140625" customWidth="1"/>
    <col min="6" max="6" width="20.42578125" customWidth="1"/>
    <col min="7" max="7" width="15.140625" customWidth="1"/>
    <col min="8" max="8" width="17.28515625" customWidth="1"/>
    <col min="9" max="9" width="16.7109375" customWidth="1"/>
    <col min="10" max="10" width="19.140625" customWidth="1"/>
    <col min="11" max="11" width="17.5703125" customWidth="1"/>
    <col min="12" max="12" width="20.42578125" customWidth="1"/>
    <col min="13" max="13" width="16.7109375" customWidth="1"/>
    <col min="14" max="14" width="16.42578125" customWidth="1"/>
    <col min="15" max="15" width="16.28515625" customWidth="1"/>
    <col min="16" max="16" width="16.140625" customWidth="1"/>
    <col min="17" max="17" width="19.140625" customWidth="1"/>
    <col min="18" max="18" width="17.7109375" customWidth="1"/>
    <col min="19" max="19" width="15.7109375" customWidth="1"/>
    <col min="20" max="20" width="17" customWidth="1"/>
    <col min="21" max="21" width="16.28515625" customWidth="1"/>
    <col min="22" max="22" width="17.42578125" customWidth="1"/>
    <col min="23" max="23" width="17" customWidth="1"/>
    <col min="24" max="24" width="16.85546875" customWidth="1"/>
    <col min="25" max="25" width="16.5703125" customWidth="1"/>
    <col min="26" max="26" width="16.28515625" customWidth="1"/>
    <col min="27" max="27" width="17.42578125" customWidth="1"/>
    <col min="28" max="28" width="16.28515625" customWidth="1"/>
    <col min="29" max="29" width="16.7109375" customWidth="1"/>
    <col min="30" max="30" width="16.42578125" customWidth="1"/>
    <col min="31" max="32" width="15.7109375" customWidth="1"/>
  </cols>
  <sheetData>
    <row r="2" spans="2:32" ht="30.75" customHeight="1" x14ac:dyDescent="0.35">
      <c r="J2" s="50" t="s">
        <v>24</v>
      </c>
      <c r="K2" s="51"/>
      <c r="L2" s="51"/>
      <c r="M2" s="51"/>
      <c r="N2" s="13"/>
    </row>
    <row r="3" spans="2:32" ht="18" customHeight="1" x14ac:dyDescent="0.35">
      <c r="B3" s="52" t="s">
        <v>25</v>
      </c>
      <c r="J3" s="25"/>
      <c r="K3" s="13"/>
      <c r="L3" s="13"/>
    </row>
    <row r="4" spans="2:32" ht="12" customHeight="1" x14ac:dyDescent="0.35">
      <c r="J4" s="25"/>
      <c r="K4" s="13"/>
      <c r="L4" s="13"/>
    </row>
    <row r="5" spans="2:32" ht="12" customHeight="1" x14ac:dyDescent="0.35">
      <c r="B5" s="27" t="s">
        <v>26</v>
      </c>
      <c r="J5" s="25"/>
      <c r="K5" s="13"/>
      <c r="L5" s="13"/>
    </row>
    <row r="6" spans="2:32" ht="12" customHeight="1" x14ac:dyDescent="0.35">
      <c r="B6" s="27" t="s">
        <v>40</v>
      </c>
      <c r="E6" s="67">
        <v>2021</v>
      </c>
      <c r="H6" s="27"/>
      <c r="I6" t="s">
        <v>49</v>
      </c>
      <c r="J6" s="25"/>
      <c r="K6" s="13"/>
      <c r="L6" s="13"/>
    </row>
    <row r="7" spans="2:32" ht="12" customHeight="1" x14ac:dyDescent="0.35">
      <c r="B7" s="27" t="s">
        <v>39</v>
      </c>
      <c r="E7" s="67">
        <v>2045</v>
      </c>
      <c r="H7" s="27"/>
      <c r="J7" s="25"/>
      <c r="K7" s="13"/>
      <c r="L7" s="13"/>
    </row>
    <row r="8" spans="2:32" ht="12" customHeight="1" x14ac:dyDescent="0.35">
      <c r="B8" s="27" t="s">
        <v>45</v>
      </c>
      <c r="E8" s="67" t="s">
        <v>55</v>
      </c>
      <c r="H8" s="27"/>
      <c r="J8" s="25"/>
      <c r="K8" s="13"/>
      <c r="L8" s="13"/>
    </row>
    <row r="9" spans="2:32" ht="12" customHeight="1" x14ac:dyDescent="0.35">
      <c r="B9" s="27" t="s">
        <v>66</v>
      </c>
      <c r="J9" s="25"/>
      <c r="K9" s="13"/>
      <c r="L9" s="13"/>
    </row>
    <row r="10" spans="2:32" ht="12" customHeight="1" x14ac:dyDescent="0.35">
      <c r="B10" s="27" t="s">
        <v>65</v>
      </c>
      <c r="J10" s="25"/>
      <c r="K10" s="13"/>
      <c r="L10" s="13"/>
    </row>
    <row r="11" spans="2:32" ht="12" customHeight="1" x14ac:dyDescent="0.25">
      <c r="B11" s="27" t="s">
        <v>68</v>
      </c>
    </row>
    <row r="12" spans="2:32" ht="12" customHeight="1" x14ac:dyDescent="0.25">
      <c r="B12" s="27"/>
    </row>
    <row r="13" spans="2:32" ht="12" customHeight="1" x14ac:dyDescent="0.25">
      <c r="B13" s="27"/>
    </row>
    <row r="14" spans="2:32" s="1" customFormat="1" ht="16.5" customHeight="1" x14ac:dyDescent="0.25">
      <c r="F14" s="24">
        <v>2019</v>
      </c>
      <c r="G14" s="24">
        <f>F14+1</f>
        <v>2020</v>
      </c>
      <c r="H14" s="24">
        <f>G14+1</f>
        <v>2021</v>
      </c>
      <c r="I14" s="24">
        <f>H14+1</f>
        <v>2022</v>
      </c>
      <c r="J14" s="24">
        <f>I14+1</f>
        <v>2023</v>
      </c>
      <c r="K14" s="24">
        <f>J14+1</f>
        <v>2024</v>
      </c>
      <c r="L14" s="24">
        <f>K14+1</f>
        <v>2025</v>
      </c>
      <c r="M14" s="24">
        <f>L14+1</f>
        <v>2026</v>
      </c>
      <c r="N14" s="24">
        <f>M14+1</f>
        <v>2027</v>
      </c>
      <c r="O14" s="24">
        <f>N14+1</f>
        <v>2028</v>
      </c>
      <c r="P14" s="24">
        <f>O14+1</f>
        <v>2029</v>
      </c>
      <c r="Q14" s="24">
        <f>P14+1</f>
        <v>2030</v>
      </c>
      <c r="R14" s="24">
        <f>Q14+1</f>
        <v>2031</v>
      </c>
      <c r="S14" s="24">
        <f>R14+1</f>
        <v>2032</v>
      </c>
      <c r="T14" s="24">
        <f>S14+1</f>
        <v>2033</v>
      </c>
      <c r="U14" s="24">
        <f>T14+1</f>
        <v>2034</v>
      </c>
      <c r="V14" s="24">
        <f>U14+1</f>
        <v>2035</v>
      </c>
      <c r="W14" s="24">
        <f>V14+1</f>
        <v>2036</v>
      </c>
      <c r="X14" s="24">
        <f>W14+1</f>
        <v>2037</v>
      </c>
      <c r="Y14" s="24">
        <f>X14+1</f>
        <v>2038</v>
      </c>
      <c r="Z14" s="24">
        <f>Y14+1</f>
        <v>2039</v>
      </c>
      <c r="AA14" s="24">
        <f>Z14+1</f>
        <v>2040</v>
      </c>
      <c r="AB14" s="24">
        <f>AA14+1</f>
        <v>2041</v>
      </c>
      <c r="AC14" s="24">
        <f>AB14+1</f>
        <v>2042</v>
      </c>
      <c r="AD14" s="24">
        <f>AC14+1</f>
        <v>2043</v>
      </c>
      <c r="AE14" s="24">
        <f>AD14+1</f>
        <v>2044</v>
      </c>
      <c r="AF14" s="24">
        <f>AE14+1</f>
        <v>2045</v>
      </c>
    </row>
    <row r="15" spans="2:32" s="1" customFormat="1" x14ac:dyDescent="0.25"/>
    <row r="16" spans="2:32" s="1" customFormat="1" ht="18.75" x14ac:dyDescent="0.3">
      <c r="B16" s="52" t="s">
        <v>21</v>
      </c>
    </row>
    <row r="17" spans="2:32" s="1" customFormat="1" x14ac:dyDescent="0.25"/>
    <row r="18" spans="2:32" s="1" customFormat="1" x14ac:dyDescent="0.25">
      <c r="B18" s="5" t="s">
        <v>5</v>
      </c>
    </row>
    <row r="19" spans="2:32" s="1" customFormat="1" x14ac:dyDescent="0.25">
      <c r="B19" s="9" t="s">
        <v>1</v>
      </c>
      <c r="C19" s="3">
        <v>2.5000000000000001E-2</v>
      </c>
      <c r="D19" s="14"/>
      <c r="E19" s="14"/>
      <c r="F19" s="68">
        <v>1</v>
      </c>
      <c r="G19" s="54">
        <f>F19*(1+$C19)</f>
        <v>1.0249999999999999</v>
      </c>
      <c r="H19" s="54">
        <f>G19*(1+$C19)</f>
        <v>1.0506249999999999</v>
      </c>
      <c r="I19" s="54">
        <f>H19*(1+$C19)</f>
        <v>1.0768906249999999</v>
      </c>
      <c r="J19" s="54">
        <f>I19*(1+$C19)</f>
        <v>1.1038128906249998</v>
      </c>
      <c r="K19" s="54">
        <f>J19*(1+$C19)</f>
        <v>1.1314082128906247</v>
      </c>
      <c r="L19" s="54">
        <f>K19*(1+$C19)</f>
        <v>1.1596934182128902</v>
      </c>
      <c r="M19" s="54">
        <f>L19*(1+$C19)</f>
        <v>1.1886857536682123</v>
      </c>
      <c r="N19" s="54">
        <f>M19*(1+$C19)</f>
        <v>1.2184028975099175</v>
      </c>
      <c r="O19" s="54">
        <f>N19*(1+$C19)</f>
        <v>1.2488629699476652</v>
      </c>
      <c r="P19" s="54">
        <f>O19*(1+$C19)</f>
        <v>1.2800845441963566</v>
      </c>
      <c r="Q19" s="54">
        <f>P19*(1+$C19)</f>
        <v>1.3120866578012655</v>
      </c>
      <c r="R19" s="54">
        <f>Q19*(1+$C19)</f>
        <v>1.3448888242462971</v>
      </c>
      <c r="S19" s="54">
        <f>R19*(1+$C19)</f>
        <v>1.3785110448524545</v>
      </c>
      <c r="T19" s="54">
        <f>S19*(1+$C19)</f>
        <v>1.4129738209737657</v>
      </c>
      <c r="U19" s="54">
        <f>T19*(1+$C19)</f>
        <v>1.4482981664981096</v>
      </c>
      <c r="V19" s="54">
        <f>U19*(1+$C19)</f>
        <v>1.4845056206605622</v>
      </c>
      <c r="W19" s="54">
        <f>V19*(1+$C19)</f>
        <v>1.5216182611770761</v>
      </c>
      <c r="X19" s="54">
        <f>W19*(1+$C19)</f>
        <v>1.5596587177065029</v>
      </c>
      <c r="Y19" s="54">
        <f>X19*(1+$C19)</f>
        <v>1.5986501856491653</v>
      </c>
      <c r="Z19" s="54">
        <f>Y19*(1+$C19)</f>
        <v>1.6386164402903942</v>
      </c>
      <c r="AA19" s="54">
        <f>Z19*(1+$C19)</f>
        <v>1.6795818512976539</v>
      </c>
      <c r="AB19" s="54">
        <f>AA19*(1+$C19)</f>
        <v>1.721571397580095</v>
      </c>
      <c r="AC19" s="54">
        <f>AB19*(1+$C19)</f>
        <v>1.7646106825195973</v>
      </c>
      <c r="AD19" s="54">
        <f>AC19*(1+$C19)</f>
        <v>1.8087259495825871</v>
      </c>
      <c r="AE19" s="54">
        <f>AD19*(1+$C19)</f>
        <v>1.8539440983221516</v>
      </c>
      <c r="AF19" s="54">
        <f>AE19*(1+$C19)</f>
        <v>1.9002927007802053</v>
      </c>
    </row>
    <row r="20" spans="2:32" s="1" customFormat="1" x14ac:dyDescent="0.25">
      <c r="B20" s="9" t="s">
        <v>53</v>
      </c>
      <c r="C20" s="3">
        <v>2.5000000000000001E-2</v>
      </c>
      <c r="D20" s="14"/>
      <c r="E20" s="14"/>
      <c r="F20" s="68">
        <v>1</v>
      </c>
      <c r="G20" s="54">
        <f>F20*(1+$C20)</f>
        <v>1.0249999999999999</v>
      </c>
      <c r="H20" s="54">
        <f>G20*(1+$C20)</f>
        <v>1.0506249999999999</v>
      </c>
      <c r="I20" s="54">
        <f>H20*(1+$C20)</f>
        <v>1.0768906249999999</v>
      </c>
      <c r="J20" s="54">
        <f>I20*(1+$C20)</f>
        <v>1.1038128906249998</v>
      </c>
      <c r="K20" s="54">
        <f>J20*(1+$C20)</f>
        <v>1.1314082128906247</v>
      </c>
      <c r="L20" s="54">
        <f>K20*(1+$C20)</f>
        <v>1.1596934182128902</v>
      </c>
      <c r="M20" s="54">
        <f>L20*(1+$C20)</f>
        <v>1.1886857536682123</v>
      </c>
      <c r="N20" s="54">
        <f>M20*(1+$C20)</f>
        <v>1.2184028975099175</v>
      </c>
      <c r="O20" s="54">
        <f>N20*(1+$C20)</f>
        <v>1.2488629699476652</v>
      </c>
      <c r="P20" s="54">
        <f>O20*(1+$C20)</f>
        <v>1.2800845441963566</v>
      </c>
      <c r="Q20" s="54">
        <f>P20*(1+$C20)</f>
        <v>1.3120866578012655</v>
      </c>
      <c r="R20" s="54">
        <f>Q20*(1+$C20)</f>
        <v>1.3448888242462971</v>
      </c>
      <c r="S20" s="54">
        <f>R20*(1+$C20)</f>
        <v>1.3785110448524545</v>
      </c>
      <c r="T20" s="54">
        <f>S20*(1+$C20)</f>
        <v>1.4129738209737657</v>
      </c>
      <c r="U20" s="54">
        <f>T20*(1+$C20)</f>
        <v>1.4482981664981096</v>
      </c>
      <c r="V20" s="54">
        <f>U20*(1+$C20)</f>
        <v>1.4845056206605622</v>
      </c>
      <c r="W20" s="54">
        <f>V20*(1+$C20)</f>
        <v>1.5216182611770761</v>
      </c>
      <c r="X20" s="54">
        <f>W20*(1+$C20)</f>
        <v>1.5596587177065029</v>
      </c>
      <c r="Y20" s="54">
        <f>X20*(1+$C20)</f>
        <v>1.5986501856491653</v>
      </c>
      <c r="Z20" s="54">
        <f>Y20*(1+$C20)</f>
        <v>1.6386164402903942</v>
      </c>
      <c r="AA20" s="54">
        <f>Z20*(1+$C20)</f>
        <v>1.6795818512976539</v>
      </c>
      <c r="AB20" s="54">
        <f>AA20*(1+$C20)</f>
        <v>1.721571397580095</v>
      </c>
      <c r="AC20" s="54">
        <f>AB20*(1+$C20)</f>
        <v>1.7646106825195973</v>
      </c>
      <c r="AD20" s="54">
        <f>AC20*(1+$C20)</f>
        <v>1.8087259495825871</v>
      </c>
      <c r="AE20" s="54">
        <f>AD20*(1+$C20)</f>
        <v>1.8539440983221516</v>
      </c>
      <c r="AF20" s="54">
        <f>AE20*(1+$C20)</f>
        <v>1.9002927007802053</v>
      </c>
    </row>
    <row r="21" spans="2:32" s="1" customFormat="1" x14ac:dyDescent="0.25">
      <c r="B21" s="9" t="s">
        <v>47</v>
      </c>
      <c r="C21" s="3">
        <v>7.0000000000000007E-2</v>
      </c>
      <c r="D21" s="14"/>
      <c r="E21" s="14"/>
      <c r="F21" s="68">
        <v>1</v>
      </c>
      <c r="G21" s="54">
        <f>F21*(1+$C21)</f>
        <v>1.07</v>
      </c>
      <c r="H21" s="54">
        <f>G21*(1+$C21)</f>
        <v>1.1449</v>
      </c>
      <c r="I21" s="54">
        <f>H21*(1+$C21)</f>
        <v>1.2250430000000001</v>
      </c>
      <c r="J21" s="54">
        <f>I21*(1+$C21)</f>
        <v>1.3107960100000002</v>
      </c>
      <c r="K21" s="54">
        <f>J21*(1+$C21)</f>
        <v>1.4025517307000004</v>
      </c>
      <c r="L21" s="54">
        <f>K21*(1+$C21)</f>
        <v>1.5007303518490005</v>
      </c>
      <c r="M21" s="54">
        <f>L21*(1+$C21)</f>
        <v>1.6057814764784306</v>
      </c>
      <c r="N21" s="54">
        <f>M21*(1+$C21)</f>
        <v>1.7181861798319209</v>
      </c>
      <c r="O21" s="54">
        <f>N21*(1+$C21)</f>
        <v>1.8384592124201555</v>
      </c>
      <c r="P21" s="54">
        <f>O21*(1+$C21)</f>
        <v>1.9671513572895665</v>
      </c>
      <c r="Q21" s="54">
        <f>P21*(1+$C21)</f>
        <v>2.1048519522998363</v>
      </c>
      <c r="R21" s="54">
        <f>Q21*(1+$C21)</f>
        <v>2.2521915889608248</v>
      </c>
      <c r="S21" s="54">
        <f>R21*(1+$C21)</f>
        <v>2.4098450001880827</v>
      </c>
      <c r="T21" s="54">
        <f>S21*(1+$C21)</f>
        <v>2.5785341502012487</v>
      </c>
      <c r="U21" s="54">
        <f>T21*(1+$C21)</f>
        <v>2.7590315407153363</v>
      </c>
      <c r="V21" s="54">
        <f>U21*(1+$C21)</f>
        <v>2.9521637485654102</v>
      </c>
      <c r="W21" s="54">
        <f>V21*(1+$C21)</f>
        <v>3.1588152109649892</v>
      </c>
      <c r="X21" s="54">
        <f>W21*(1+$C21)</f>
        <v>3.3799322757325387</v>
      </c>
      <c r="Y21" s="54">
        <f>X21*(1+$C21)</f>
        <v>3.6165275350338169</v>
      </c>
      <c r="Z21" s="54">
        <f>Y21*(1+$C21)</f>
        <v>3.8696844624861844</v>
      </c>
      <c r="AA21" s="54">
        <f>Z21*(1+$C21)</f>
        <v>4.1405623748602176</v>
      </c>
      <c r="AB21" s="54">
        <f>AA21*(1+$C21)</f>
        <v>4.4304017411004333</v>
      </c>
      <c r="AC21" s="54">
        <f>AB21*(1+$C21)</f>
        <v>4.7405298629774641</v>
      </c>
      <c r="AD21" s="54">
        <f>AC21*(1+$C21)</f>
        <v>5.0723669533858873</v>
      </c>
      <c r="AE21" s="54">
        <f>AD21*(1+$C21)</f>
        <v>5.4274326401229001</v>
      </c>
      <c r="AF21" s="54">
        <f>AE21*(1+$C21)</f>
        <v>5.8073529249315037</v>
      </c>
    </row>
    <row r="22" spans="2:32" s="1" customFormat="1" x14ac:dyDescent="0.25">
      <c r="D22" s="14"/>
      <c r="E22" s="14"/>
      <c r="F22" s="14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</row>
    <row r="23" spans="2:32" s="1" customFormat="1" x14ac:dyDescent="0.25">
      <c r="B23" s="5" t="s">
        <v>64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</row>
    <row r="24" spans="2:32" x14ac:dyDescent="0.25">
      <c r="B24" t="s">
        <v>9</v>
      </c>
      <c r="D24" s="13" t="s">
        <v>46</v>
      </c>
      <c r="E24" s="13"/>
      <c r="F24" s="15">
        <v>182301000</v>
      </c>
      <c r="G24" s="15">
        <v>425369000</v>
      </c>
      <c r="H24" s="15"/>
      <c r="I24" s="15"/>
      <c r="J24" s="15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2:32" x14ac:dyDescent="0.25">
      <c r="B25" t="s">
        <v>41</v>
      </c>
      <c r="D25" s="13" t="s">
        <v>46</v>
      </c>
      <c r="E25" s="13"/>
      <c r="F25" s="15" t="s">
        <v>63</v>
      </c>
      <c r="G25" s="15" t="s">
        <v>63</v>
      </c>
      <c r="H25" s="15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2:32" x14ac:dyDescent="0.25"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spans="2:32" x14ac:dyDescent="0.25">
      <c r="B27" s="6" t="s">
        <v>2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spans="2:32" x14ac:dyDescent="0.25">
      <c r="B28" s="53" t="s">
        <v>42</v>
      </c>
      <c r="D28" s="13"/>
      <c r="E28" s="13"/>
      <c r="F28" s="57"/>
      <c r="G28" s="57"/>
      <c r="H28" s="57">
        <v>400</v>
      </c>
      <c r="I28" s="57">
        <v>600</v>
      </c>
      <c r="J28" s="57">
        <v>800</v>
      </c>
      <c r="K28" s="57">
        <v>1000</v>
      </c>
      <c r="L28" s="57">
        <v>1000</v>
      </c>
      <c r="M28" s="57">
        <v>1000</v>
      </c>
      <c r="N28" s="57">
        <v>1000</v>
      </c>
      <c r="O28" s="57">
        <v>1000</v>
      </c>
      <c r="P28" s="57">
        <v>1000</v>
      </c>
      <c r="Q28" s="57">
        <v>1000</v>
      </c>
      <c r="R28" s="57">
        <v>1000</v>
      </c>
      <c r="S28" s="57">
        <v>1000</v>
      </c>
      <c r="T28" s="57">
        <v>1000</v>
      </c>
      <c r="U28" s="57">
        <v>1000</v>
      </c>
      <c r="V28" s="57">
        <v>1000</v>
      </c>
      <c r="W28" s="57">
        <v>1000</v>
      </c>
      <c r="X28" s="57">
        <v>1000</v>
      </c>
      <c r="Y28" s="57">
        <v>1000</v>
      </c>
      <c r="Z28" s="57">
        <v>1000</v>
      </c>
      <c r="AA28" s="57">
        <v>1000</v>
      </c>
      <c r="AB28" s="57">
        <v>1000</v>
      </c>
      <c r="AC28" s="57">
        <v>1000</v>
      </c>
      <c r="AD28" s="57">
        <v>1000</v>
      </c>
      <c r="AE28" s="57">
        <v>1000</v>
      </c>
      <c r="AF28" s="57">
        <v>1000</v>
      </c>
    </row>
    <row r="29" spans="2:32" x14ac:dyDescent="0.25">
      <c r="B29" s="53" t="s">
        <v>43</v>
      </c>
      <c r="C29" s="7">
        <v>84664.208899729943</v>
      </c>
      <c r="D29" s="13" t="s">
        <v>44</v>
      </c>
      <c r="E29" s="7"/>
      <c r="F29" s="7"/>
      <c r="G29" s="7"/>
      <c r="H29" s="7">
        <f>$C$29*H19</f>
        <v>88950.334475278767</v>
      </c>
      <c r="I29" s="7">
        <f>$C$29*I19</f>
        <v>91174.09283716073</v>
      </c>
      <c r="J29" s="7">
        <f>$C$29*J19</f>
        <v>93453.445158089744</v>
      </c>
      <c r="K29" s="7">
        <f>$C$29*K19</f>
        <v>95789.781287041973</v>
      </c>
      <c r="L29" s="7">
        <f>$C$29*L19</f>
        <v>98184.525819218019</v>
      </c>
      <c r="M29" s="7">
        <f>$C$29*M19</f>
        <v>100639.13896469845</v>
      </c>
      <c r="N29" s="7">
        <f>$C$29*N19</f>
        <v>103155.11743881591</v>
      </c>
      <c r="O29" s="7">
        <f>$C$29*O19</f>
        <v>105733.99537478629</v>
      </c>
      <c r="P29" s="7">
        <f>$C$29*P19</f>
        <v>108377.34525915593</v>
      </c>
      <c r="Q29" s="7">
        <f>$C$29*Q19</f>
        <v>111086.77889063483</v>
      </c>
      <c r="R29" s="7">
        <f>$C$29*R19</f>
        <v>113863.94836290069</v>
      </c>
      <c r="S29" s="7">
        <f>$C$29*S19</f>
        <v>116710.5470719732</v>
      </c>
      <c r="T29" s="7">
        <f>$C$29*T19</f>
        <v>119628.31074877252</v>
      </c>
      <c r="U29" s="7">
        <f>$C$29*U19</f>
        <v>122619.01851749182</v>
      </c>
      <c r="V29" s="7">
        <f>$C$29*V19</f>
        <v>125684.49398042909</v>
      </c>
      <c r="W29" s="7">
        <f>$C$29*W19</f>
        <v>128826.60632993981</v>
      </c>
      <c r="X29" s="7">
        <f>$C$29*X19</f>
        <v>132047.2714881883</v>
      </c>
      <c r="Y29" s="7">
        <f>$C$29*Y19</f>
        <v>135348.453275393</v>
      </c>
      <c r="Z29" s="7">
        <f>$C$29*Z19</f>
        <v>138732.16460727778</v>
      </c>
      <c r="AA29" s="7">
        <f>$C$29*AA19</f>
        <v>142200.46872245971</v>
      </c>
      <c r="AB29" s="7">
        <f>$C$29*AB19</f>
        <v>145755.48044052121</v>
      </c>
      <c r="AC29" s="7">
        <f>$C$29*AC19</f>
        <v>149399.36745153423</v>
      </c>
      <c r="AD29" s="7">
        <f>$C$29*AD19</f>
        <v>153134.35163782258</v>
      </c>
      <c r="AE29" s="7">
        <f>$C$29*AE19</f>
        <v>156962.7104287681</v>
      </c>
      <c r="AF29" s="7">
        <f>$C$29*AF19</f>
        <v>160886.77818948732</v>
      </c>
    </row>
    <row r="30" spans="2:32" x14ac:dyDescent="0.25">
      <c r="B30" t="s">
        <v>3</v>
      </c>
      <c r="D30" s="13" t="s">
        <v>46</v>
      </c>
      <c r="E30" s="13"/>
      <c r="F30" s="16">
        <v>0</v>
      </c>
      <c r="G30" s="16">
        <v>0</v>
      </c>
      <c r="H30" s="16">
        <f>H28*H29</f>
        <v>35580133.790111504</v>
      </c>
      <c r="I30" s="16">
        <f>I28*I29</f>
        <v>54704455.702296436</v>
      </c>
      <c r="J30" s="16">
        <f>J28*J29</f>
        <v>74762756.126471788</v>
      </c>
      <c r="K30" s="16">
        <f>K28*K29</f>
        <v>95789781.287041977</v>
      </c>
      <c r="L30" s="16">
        <f>L28*L29</f>
        <v>98184525.819218025</v>
      </c>
      <c r="M30" s="16">
        <f>M28*M29</f>
        <v>100639138.96469845</v>
      </c>
      <c r="N30" s="16">
        <f>N28*N29</f>
        <v>103155117.43881591</v>
      </c>
      <c r="O30" s="16">
        <f>O28*O29</f>
        <v>105733995.37478629</v>
      </c>
      <c r="P30" s="16">
        <f>P28*P29</f>
        <v>108377345.25915593</v>
      </c>
      <c r="Q30" s="16">
        <f>Q28*Q29</f>
        <v>111086778.89063483</v>
      </c>
      <c r="R30" s="16">
        <f>R28*R29</f>
        <v>113863948.36290069</v>
      </c>
      <c r="S30" s="16">
        <f>S28*S29</f>
        <v>116710547.07197319</v>
      </c>
      <c r="T30" s="16">
        <f>T28*T29</f>
        <v>119628310.74877252</v>
      </c>
      <c r="U30" s="16">
        <f>U28*U29</f>
        <v>122619018.51749182</v>
      </c>
      <c r="V30" s="16">
        <f>V28*V29</f>
        <v>125684493.9804291</v>
      </c>
      <c r="W30" s="16">
        <f>W28*W29</f>
        <v>128826606.32993981</v>
      </c>
      <c r="X30" s="16">
        <f>X28*X29</f>
        <v>132047271.4881883</v>
      </c>
      <c r="Y30" s="16">
        <f>Y28*Y29</f>
        <v>135348453.27539301</v>
      </c>
      <c r="Z30" s="16">
        <f>Z28*Z29</f>
        <v>138732164.60727778</v>
      </c>
      <c r="AA30" s="16">
        <f>AA28*AA29</f>
        <v>142200468.7224597</v>
      </c>
      <c r="AB30" s="16">
        <f>AB28*AB29</f>
        <v>145755480.44052121</v>
      </c>
      <c r="AC30" s="16">
        <f>AC28*AC29</f>
        <v>149399367.45153424</v>
      </c>
      <c r="AD30" s="16">
        <f>AD28*AD29</f>
        <v>153134351.63782257</v>
      </c>
      <c r="AE30" s="16">
        <f>AE28*AE29</f>
        <v>156962710.4287681</v>
      </c>
      <c r="AF30" s="16">
        <f>AF28*AF29</f>
        <v>160886778.18948731</v>
      </c>
    </row>
    <row r="31" spans="2:32" x14ac:dyDescent="0.25">
      <c r="D31" s="13"/>
      <c r="E31" s="13"/>
      <c r="F31" s="13"/>
      <c r="G31" s="60"/>
      <c r="H31" s="60"/>
      <c r="I31" s="60"/>
      <c r="J31" s="60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</row>
    <row r="32" spans="2:32" x14ac:dyDescent="0.25">
      <c r="B32" s="6" t="s">
        <v>4</v>
      </c>
      <c r="D32" s="13"/>
      <c r="E32" s="13"/>
      <c r="F32" s="13"/>
      <c r="G32" s="60"/>
      <c r="H32" s="60"/>
      <c r="I32" s="60"/>
      <c r="J32" s="60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</row>
    <row r="33" spans="2:33" x14ac:dyDescent="0.25">
      <c r="B33" t="s">
        <v>27</v>
      </c>
      <c r="C33" s="7">
        <v>386.25</v>
      </c>
      <c r="D33" s="13" t="s">
        <v>44</v>
      </c>
      <c r="E33" s="13"/>
      <c r="F33" s="13">
        <f>$C$33*F19</f>
        <v>386.25</v>
      </c>
      <c r="G33" s="13">
        <f>$C$33*G19</f>
        <v>395.90624999999994</v>
      </c>
      <c r="H33" s="13">
        <f>$C$33*H19</f>
        <v>405.80390624999995</v>
      </c>
      <c r="I33" s="13">
        <f>$C$33*I19</f>
        <v>415.94900390624997</v>
      </c>
      <c r="J33" s="13">
        <f>$C$33*J19</f>
        <v>426.34772900390618</v>
      </c>
      <c r="K33" s="13">
        <f>$C$33*K19</f>
        <v>437.00642222900376</v>
      </c>
      <c r="L33" s="13">
        <f>$C$33*L19</f>
        <v>447.93158278472885</v>
      </c>
      <c r="M33" s="13">
        <f>$C$33*M19</f>
        <v>459.12987235434701</v>
      </c>
      <c r="N33" s="13">
        <f>$C$33*N19</f>
        <v>470.60811916320563</v>
      </c>
      <c r="O33" s="13">
        <f>$C$33*O19</f>
        <v>482.3733221422857</v>
      </c>
      <c r="P33" s="13">
        <f>$C$33*P19</f>
        <v>494.43265519584276</v>
      </c>
      <c r="Q33" s="13">
        <f>$C$33*Q19</f>
        <v>506.79347157573881</v>
      </c>
      <c r="R33" s="13">
        <f>$C$33*R19</f>
        <v>519.46330836513221</v>
      </c>
      <c r="S33" s="13">
        <f>$C$33*S19</f>
        <v>532.44989107426056</v>
      </c>
      <c r="T33" s="13">
        <f>$C$33*T19</f>
        <v>545.76113835111698</v>
      </c>
      <c r="U33" s="13">
        <f>$C$33*U19</f>
        <v>559.40516680989481</v>
      </c>
      <c r="V33" s="13">
        <f>$C$33*V19</f>
        <v>573.39029598014213</v>
      </c>
      <c r="W33" s="13">
        <f>$C$33*W19</f>
        <v>587.7250533796456</v>
      </c>
      <c r="X33" s="13">
        <f>$C$33*X19</f>
        <v>602.41817971413673</v>
      </c>
      <c r="Y33" s="13">
        <f>$C$33*Y19</f>
        <v>617.47863420699014</v>
      </c>
      <c r="Z33" s="13">
        <f>$C$33*Z19</f>
        <v>632.9156000621648</v>
      </c>
      <c r="AA33" s="13">
        <f>$C$33*AA19</f>
        <v>648.73849006371881</v>
      </c>
      <c r="AB33" s="13">
        <f>$C$33*AB19</f>
        <v>664.9569523153117</v>
      </c>
      <c r="AC33" s="13">
        <f>$C$33*AC19</f>
        <v>681.58087612319446</v>
      </c>
      <c r="AD33" s="13">
        <f>$C$33*AD19</f>
        <v>698.6203980262743</v>
      </c>
      <c r="AE33" s="13">
        <f>$C$33*AE19</f>
        <v>716.08590797693103</v>
      </c>
      <c r="AF33" s="13">
        <f>$C$33*AF19</f>
        <v>733.98805567635429</v>
      </c>
    </row>
    <row r="34" spans="2:33" x14ac:dyDescent="0.25">
      <c r="B34" t="s">
        <v>27</v>
      </c>
      <c r="C34" s="7"/>
      <c r="D34" s="13" t="s">
        <v>46</v>
      </c>
      <c r="E34" s="13"/>
      <c r="F34" s="16"/>
      <c r="G34" s="16"/>
      <c r="H34" s="16">
        <f>H33*H28</f>
        <v>162321.56249999997</v>
      </c>
      <c r="I34" s="16">
        <f>I33*I28</f>
        <v>249569.40234374997</v>
      </c>
      <c r="J34" s="16">
        <f>J33*J28</f>
        <v>341078.18320312497</v>
      </c>
      <c r="K34" s="16">
        <f>K33*K28</f>
        <v>437006.42222900374</v>
      </c>
      <c r="L34" s="16">
        <f>L33*L28</f>
        <v>447931.58278472885</v>
      </c>
      <c r="M34" s="16">
        <f>M33*M28</f>
        <v>459129.87235434703</v>
      </c>
      <c r="N34" s="16">
        <f>N33*N28</f>
        <v>470608.11916320561</v>
      </c>
      <c r="O34" s="16">
        <f>O33*O28</f>
        <v>482373.3221422857</v>
      </c>
      <c r="P34" s="16">
        <f>P33*P28</f>
        <v>494432.65519584273</v>
      </c>
      <c r="Q34" s="16">
        <f>Q33*Q28</f>
        <v>506793.4715757388</v>
      </c>
      <c r="R34" s="16">
        <f>R33*R28</f>
        <v>519463.30836513219</v>
      </c>
      <c r="S34" s="16">
        <f>S33*S28</f>
        <v>532449.89107426058</v>
      </c>
      <c r="T34" s="16">
        <f>T33*T28</f>
        <v>545761.13835111703</v>
      </c>
      <c r="U34" s="16">
        <f>U33*U28</f>
        <v>559405.16680989484</v>
      </c>
      <c r="V34" s="16">
        <f>V33*V28</f>
        <v>573390.29598014208</v>
      </c>
      <c r="W34" s="16">
        <f>W33*W28</f>
        <v>587725.05337964557</v>
      </c>
      <c r="X34" s="16">
        <f>X33*X28</f>
        <v>602418.17971413676</v>
      </c>
      <c r="Y34" s="16">
        <f>Y33*Y28</f>
        <v>617478.63420699013</v>
      </c>
      <c r="Z34" s="16">
        <f>Z33*Z28</f>
        <v>632915.60006216483</v>
      </c>
      <c r="AA34" s="16">
        <f>AA33*AA28</f>
        <v>648738.49006371887</v>
      </c>
      <c r="AB34" s="16">
        <f>AB33*AB28</f>
        <v>664956.95231531165</v>
      </c>
      <c r="AC34" s="16">
        <f>AC33*AC28</f>
        <v>681580.87612319447</v>
      </c>
      <c r="AD34" s="16">
        <f>AD33*AD28</f>
        <v>698620.39802627428</v>
      </c>
      <c r="AE34" s="16">
        <f>AE33*AE28</f>
        <v>716085.90797693108</v>
      </c>
      <c r="AF34" s="16">
        <f>AF33*AF28</f>
        <v>733988.05567635433</v>
      </c>
    </row>
    <row r="35" spans="2:33" x14ac:dyDescent="0.25">
      <c r="B35" t="s">
        <v>28</v>
      </c>
      <c r="C35" s="7">
        <v>47000000</v>
      </c>
      <c r="D35" s="13" t="s">
        <v>46</v>
      </c>
      <c r="E35" s="13"/>
      <c r="F35" s="70">
        <f>3750000+(42000000*F19)</f>
        <v>45750000</v>
      </c>
      <c r="G35" s="70">
        <f>3750000+(42000000*G19)</f>
        <v>46799999.999999993</v>
      </c>
      <c r="H35" s="70">
        <f>3750000+(42000000*H19)</f>
        <v>47876250</v>
      </c>
      <c r="I35" s="70">
        <f>3750000+(42000000*I19)</f>
        <v>48979406.249999993</v>
      </c>
      <c r="J35" s="70">
        <f>3750000+(42000000*J19)</f>
        <v>50110141.406249993</v>
      </c>
      <c r="K35" s="70">
        <f>3750000+(42000000*K19)</f>
        <v>51269144.941406235</v>
      </c>
      <c r="L35" s="70">
        <f>3750000+(42000000*L19)</f>
        <v>52457123.564941384</v>
      </c>
      <c r="M35" s="70">
        <f>3750000+(42000000*M19)</f>
        <v>53674801.654064916</v>
      </c>
      <c r="N35" s="70">
        <f>3750000+(42000000*N19)</f>
        <v>54922921.695416532</v>
      </c>
      <c r="O35" s="70">
        <f>3750000+(42000000*O19)</f>
        <v>56202244.737801939</v>
      </c>
      <c r="P35" s="70">
        <f>3750000+(42000000*P19)</f>
        <v>57513550.856246978</v>
      </c>
      <c r="Q35" s="70">
        <f>3750000+(42000000*Q19)</f>
        <v>58857639.627653152</v>
      </c>
      <c r="R35" s="70">
        <f>3750000+(42000000*R19)</f>
        <v>60235330.618344478</v>
      </c>
      <c r="S35" s="70">
        <f>3750000+(42000000*S19)</f>
        <v>61647463.883803084</v>
      </c>
      <c r="T35" s="70">
        <f>3750000+(42000000*T19)</f>
        <v>63094900.480898157</v>
      </c>
      <c r="U35" s="70">
        <f>3750000+(42000000*U19)</f>
        <v>64578522.9929206</v>
      </c>
      <c r="V35" s="70">
        <f>3750000+(42000000*V19)</f>
        <v>66099236.067743614</v>
      </c>
      <c r="W35" s="70">
        <f>3750000+(42000000*W19)</f>
        <v>67657966.969437197</v>
      </c>
      <c r="X35" s="70">
        <f>3750000+(42000000*X19)</f>
        <v>69255666.143673122</v>
      </c>
      <c r="Y35" s="70">
        <f>3750000+(42000000*Y19)</f>
        <v>70893307.797264948</v>
      </c>
      <c r="Z35" s="70">
        <f>3750000+(42000000*Z19)</f>
        <v>72571890.49219656</v>
      </c>
      <c r="AA35" s="70">
        <f>3750000+(42000000*AA19)</f>
        <v>74292437.754501462</v>
      </c>
      <c r="AB35" s="70">
        <f>3750000+(42000000*AB19)</f>
        <v>76055998.69836399</v>
      </c>
      <c r="AC35" s="70">
        <f>3750000+(42000000*AC19)</f>
        <v>77863648.665823087</v>
      </c>
      <c r="AD35" s="70">
        <f>3750000+(42000000*AD19)</f>
        <v>79716489.882468656</v>
      </c>
      <c r="AE35" s="70">
        <f>3750000+(42000000*AE19)</f>
        <v>81615652.12953037</v>
      </c>
      <c r="AF35" s="70">
        <f>3750000+(42000000*AF19)</f>
        <v>83562293.432768628</v>
      </c>
    </row>
    <row r="36" spans="2:33" x14ac:dyDescent="0.25">
      <c r="B36" t="s">
        <v>48</v>
      </c>
      <c r="D36" s="13" t="s">
        <v>46</v>
      </c>
      <c r="E36" s="13"/>
      <c r="F36" s="71">
        <f>SUM(F34:F35)</f>
        <v>45750000</v>
      </c>
      <c r="G36" s="71">
        <f>SUM(G34:G35)</f>
        <v>46799999.999999993</v>
      </c>
      <c r="H36" s="71">
        <f>SUM(H34:H35)</f>
        <v>48038571.5625</v>
      </c>
      <c r="I36" s="71">
        <f>SUM(I34:I35)</f>
        <v>49228975.652343743</v>
      </c>
      <c r="J36" s="71">
        <f>SUM(J34:J35)</f>
        <v>50451219.589453116</v>
      </c>
      <c r="K36" s="71">
        <f>SUM(K34:K35)</f>
        <v>51706151.363635242</v>
      </c>
      <c r="L36" s="71">
        <f>SUM(L34:L35)</f>
        <v>52905055.147726111</v>
      </c>
      <c r="M36" s="71">
        <f>SUM(M34:M35)</f>
        <v>54133931.52641926</v>
      </c>
      <c r="N36" s="71">
        <f>SUM(N34:N35)</f>
        <v>55393529.81457974</v>
      </c>
      <c r="O36" s="71">
        <f>SUM(O34:O35)</f>
        <v>56684618.059944227</v>
      </c>
      <c r="P36" s="71">
        <f>SUM(P34:P35)</f>
        <v>58007983.511442818</v>
      </c>
      <c r="Q36" s="71">
        <f>SUM(Q34:Q35)</f>
        <v>59364433.099228889</v>
      </c>
      <c r="R36" s="71">
        <f>SUM(R34:R35)</f>
        <v>60754793.926709607</v>
      </c>
      <c r="S36" s="71">
        <f>SUM(S34:S35)</f>
        <v>62179913.774877347</v>
      </c>
      <c r="T36" s="71">
        <f>SUM(T34:T35)</f>
        <v>63640661.619249277</v>
      </c>
      <c r="U36" s="71">
        <f>SUM(U34:U35)</f>
        <v>65137928.159730494</v>
      </c>
      <c r="V36" s="71">
        <f>SUM(V34:V35)</f>
        <v>66672626.363723755</v>
      </c>
      <c r="W36" s="71">
        <f>SUM(W34:W35)</f>
        <v>68245692.022816837</v>
      </c>
      <c r="X36" s="71">
        <f>SUM(X34:X35)</f>
        <v>69858084.323387265</v>
      </c>
      <c r="Y36" s="71">
        <f>SUM(Y34:Y35)</f>
        <v>71510786.431471944</v>
      </c>
      <c r="Z36" s="71">
        <f>SUM(Z34:Z35)</f>
        <v>73204806.092258722</v>
      </c>
      <c r="AA36" s="71">
        <f>SUM(AA34:AA35)</f>
        <v>74941176.244565174</v>
      </c>
      <c r="AB36" s="71">
        <f>SUM(AB34:AB35)</f>
        <v>76720955.650679305</v>
      </c>
      <c r="AC36" s="71">
        <f>SUM(AC34:AC35)</f>
        <v>78545229.541946277</v>
      </c>
      <c r="AD36" s="71">
        <f>SUM(AD34:AD35)</f>
        <v>80415110.280494928</v>
      </c>
      <c r="AE36" s="71">
        <f>SUM(AE34:AE35)</f>
        <v>82331738.037507296</v>
      </c>
      <c r="AF36" s="71">
        <f>SUM(AF34:AF35)</f>
        <v>84296281.488444984</v>
      </c>
    </row>
    <row r="37" spans="2:33" s="2" customFormat="1" x14ac:dyDescent="0.25">
      <c r="D37" s="21"/>
      <c r="E37" s="21"/>
      <c r="F37" s="61"/>
      <c r="G37" s="61"/>
      <c r="H37" s="61"/>
      <c r="I37" s="61"/>
      <c r="J37" s="61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</row>
    <row r="38" spans="2:33" x14ac:dyDescent="0.25">
      <c r="D38" s="13"/>
      <c r="E38" s="13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</row>
    <row r="39" spans="2:33" x14ac:dyDescent="0.25">
      <c r="B39" s="8" t="s">
        <v>19</v>
      </c>
      <c r="C39" s="13"/>
      <c r="D39" s="13"/>
      <c r="E39" s="13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</row>
    <row r="40" spans="2:33" x14ac:dyDescent="0.25">
      <c r="C40" s="13"/>
      <c r="D40" s="13"/>
      <c r="E40" s="13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</row>
    <row r="41" spans="2:33" x14ac:dyDescent="0.25">
      <c r="B41" t="s">
        <v>0</v>
      </c>
      <c r="C41" s="13"/>
      <c r="D41" s="13"/>
      <c r="E41" s="13"/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</row>
    <row r="42" spans="2:33" x14ac:dyDescent="0.25">
      <c r="B42" t="s">
        <v>9</v>
      </c>
      <c r="C42" s="13"/>
      <c r="D42" s="13"/>
      <c r="E42" s="13"/>
      <c r="F42" s="22">
        <v>18230100</v>
      </c>
      <c r="G42" s="84">
        <v>436003225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 spans="2:33" x14ac:dyDescent="0.25">
      <c r="B43" t="s">
        <v>14</v>
      </c>
      <c r="C43" s="13"/>
      <c r="D43" s="13"/>
      <c r="E43" s="13"/>
      <c r="F43" s="16">
        <f>F41+F42</f>
        <v>18230100</v>
      </c>
      <c r="G43" s="16">
        <f>G41+G42</f>
        <v>436003225</v>
      </c>
      <c r="H43" s="16">
        <f>H41+H42</f>
        <v>0</v>
      </c>
      <c r="I43" s="16">
        <f>I41+I42</f>
        <v>0</v>
      </c>
      <c r="J43" s="16">
        <f>J41+J42</f>
        <v>0</v>
      </c>
      <c r="K43" s="16">
        <f>K41+K42</f>
        <v>0</v>
      </c>
      <c r="L43" s="16">
        <f>L41+L42</f>
        <v>0</v>
      </c>
      <c r="M43" s="16">
        <f>M41+M42</f>
        <v>0</v>
      </c>
      <c r="N43" s="16">
        <f>N41+N42</f>
        <v>0</v>
      </c>
      <c r="O43" s="16">
        <f>O41+O42</f>
        <v>0</v>
      </c>
      <c r="P43" s="16">
        <f>P41+P42</f>
        <v>0</v>
      </c>
      <c r="Q43" s="16">
        <f>Q41+Q42</f>
        <v>0</v>
      </c>
      <c r="R43" s="16">
        <f>R41+R42</f>
        <v>0</v>
      </c>
      <c r="S43" s="16">
        <f>S41+S42</f>
        <v>0</v>
      </c>
      <c r="T43" s="16">
        <f>T41+T42</f>
        <v>0</v>
      </c>
      <c r="U43" s="16">
        <f>U41+U42</f>
        <v>0</v>
      </c>
      <c r="V43" s="16">
        <f>V41+V42</f>
        <v>0</v>
      </c>
      <c r="W43" s="16">
        <f>W41+W42</f>
        <v>0</v>
      </c>
      <c r="X43" s="16">
        <f>X41+X42</f>
        <v>0</v>
      </c>
      <c r="Y43" s="16">
        <f>Y41+Y42</f>
        <v>0</v>
      </c>
      <c r="Z43" s="16">
        <f>Z41+Z42</f>
        <v>0</v>
      </c>
      <c r="AA43" s="16">
        <f>AA41+AA42</f>
        <v>0</v>
      </c>
      <c r="AB43" s="16">
        <f>AB41+AB42</f>
        <v>0</v>
      </c>
      <c r="AC43" s="16">
        <f>AC41+AC42</f>
        <v>0</v>
      </c>
      <c r="AD43" s="16">
        <f>AD41+AD42</f>
        <v>0</v>
      </c>
      <c r="AE43" s="16">
        <f>AE41+AE42</f>
        <v>0</v>
      </c>
      <c r="AF43" s="16">
        <f>AF41+AF42</f>
        <v>0</v>
      </c>
      <c r="AG43" s="16"/>
    </row>
    <row r="44" spans="2:33" x14ac:dyDescent="0.25">
      <c r="C44" s="13"/>
      <c r="D44" s="13"/>
      <c r="E44" s="13"/>
      <c r="F44" s="63"/>
      <c r="G44" s="63"/>
      <c r="H44" s="63"/>
      <c r="I44" s="16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</row>
    <row r="45" spans="2:33" x14ac:dyDescent="0.25">
      <c r="B45" t="s">
        <v>2</v>
      </c>
      <c r="C45" s="13"/>
      <c r="D45" s="13"/>
      <c r="E45" s="13"/>
      <c r="F45" s="74">
        <f>F30</f>
        <v>0</v>
      </c>
      <c r="G45" s="74">
        <f>G30</f>
        <v>0</v>
      </c>
      <c r="H45" s="74">
        <f>H30</f>
        <v>35580133.790111504</v>
      </c>
      <c r="I45" s="74">
        <f>I30</f>
        <v>54704455.702296436</v>
      </c>
      <c r="J45" s="74">
        <f>J30</f>
        <v>74762756.126471788</v>
      </c>
      <c r="K45" s="74">
        <f>K30</f>
        <v>95789781.287041977</v>
      </c>
      <c r="L45" s="74">
        <f>L30</f>
        <v>98184525.819218025</v>
      </c>
      <c r="M45" s="74">
        <f>M30</f>
        <v>100639138.96469845</v>
      </c>
      <c r="N45" s="74">
        <f>N30</f>
        <v>103155117.43881591</v>
      </c>
      <c r="O45" s="74">
        <f>O30</f>
        <v>105733995.37478629</v>
      </c>
      <c r="P45" s="74">
        <f>P30</f>
        <v>108377345.25915593</v>
      </c>
      <c r="Q45" s="74">
        <f>Q30</f>
        <v>111086778.89063483</v>
      </c>
      <c r="R45" s="74">
        <f>R30</f>
        <v>113863948.36290069</v>
      </c>
      <c r="S45" s="74">
        <f>S30</f>
        <v>116710547.07197319</v>
      </c>
      <c r="T45" s="74">
        <f>T30</f>
        <v>119628310.74877252</v>
      </c>
      <c r="U45" s="74">
        <f>U30</f>
        <v>122619018.51749182</v>
      </c>
      <c r="V45" s="74">
        <f>V30</f>
        <v>125684493.9804291</v>
      </c>
      <c r="W45" s="74">
        <f>W30</f>
        <v>128826606.32993981</v>
      </c>
      <c r="X45" s="74">
        <f>X30</f>
        <v>132047271.4881883</v>
      </c>
      <c r="Y45" s="74">
        <f>Y30</f>
        <v>135348453.27539301</v>
      </c>
      <c r="Z45" s="74">
        <f>Z30</f>
        <v>138732164.60727778</v>
      </c>
      <c r="AA45" s="74">
        <f>AA30</f>
        <v>142200468.7224597</v>
      </c>
      <c r="AB45" s="74">
        <f>AB30</f>
        <v>145755480.44052121</v>
      </c>
      <c r="AC45" s="74">
        <f>AC30</f>
        <v>149399367.45153424</v>
      </c>
      <c r="AD45" s="74">
        <f>AD30</f>
        <v>153134351.63782257</v>
      </c>
      <c r="AE45" s="74">
        <f>AE30</f>
        <v>156962710.4287681</v>
      </c>
      <c r="AF45" s="74">
        <f>AF30</f>
        <v>160886778.18948731</v>
      </c>
    </row>
    <row r="46" spans="2:33" x14ac:dyDescent="0.25">
      <c r="B46" t="s">
        <v>4</v>
      </c>
      <c r="C46" s="13"/>
      <c r="D46" s="13"/>
      <c r="E46" s="13"/>
      <c r="F46" s="75">
        <f>F36</f>
        <v>45750000</v>
      </c>
      <c r="G46" s="75">
        <f>G36</f>
        <v>46799999.999999993</v>
      </c>
      <c r="H46" s="75">
        <f>H36</f>
        <v>48038571.5625</v>
      </c>
      <c r="I46" s="75">
        <f>I36</f>
        <v>49228975.652343743</v>
      </c>
      <c r="J46" s="75">
        <f>J36</f>
        <v>50451219.589453116</v>
      </c>
      <c r="K46" s="75">
        <f>K36</f>
        <v>51706151.363635242</v>
      </c>
      <c r="L46" s="75">
        <f>L36</f>
        <v>52905055.147726111</v>
      </c>
      <c r="M46" s="75">
        <f>M36</f>
        <v>54133931.52641926</v>
      </c>
      <c r="N46" s="75">
        <f>N36</f>
        <v>55393529.81457974</v>
      </c>
      <c r="O46" s="75">
        <f>O36</f>
        <v>56684618.059944227</v>
      </c>
      <c r="P46" s="75">
        <f>P36</f>
        <v>58007983.511442818</v>
      </c>
      <c r="Q46" s="75">
        <f>Q36</f>
        <v>59364433.099228889</v>
      </c>
      <c r="R46" s="75">
        <f>R36</f>
        <v>60754793.926709607</v>
      </c>
      <c r="S46" s="75">
        <f>S36</f>
        <v>62179913.774877347</v>
      </c>
      <c r="T46" s="75">
        <f>T36</f>
        <v>63640661.619249277</v>
      </c>
      <c r="U46" s="75">
        <f>U36</f>
        <v>65137928.159730494</v>
      </c>
      <c r="V46" s="75">
        <f>V36</f>
        <v>66672626.363723755</v>
      </c>
      <c r="W46" s="75">
        <f>W36</f>
        <v>68245692.022816837</v>
      </c>
      <c r="X46" s="75">
        <f>X36</f>
        <v>69858084.323387265</v>
      </c>
      <c r="Y46" s="75">
        <f>Y36</f>
        <v>71510786.431471944</v>
      </c>
      <c r="Z46" s="75">
        <f>Z36</f>
        <v>73204806.092258722</v>
      </c>
      <c r="AA46" s="75">
        <f>AA36</f>
        <v>74941176.244565174</v>
      </c>
      <c r="AB46" s="75">
        <f>AB36</f>
        <v>76720955.650679305</v>
      </c>
      <c r="AC46" s="75">
        <f>AC36</f>
        <v>78545229.541946277</v>
      </c>
      <c r="AD46" s="75">
        <f>AD36</f>
        <v>80415110.280494928</v>
      </c>
      <c r="AE46" s="75">
        <f>AE36</f>
        <v>82331738.037507296</v>
      </c>
      <c r="AF46" s="75">
        <f>AF36</f>
        <v>84296281.488444984</v>
      </c>
    </row>
    <row r="47" spans="2:33" x14ac:dyDescent="0.25">
      <c r="B47" t="s">
        <v>22</v>
      </c>
      <c r="C47" s="13"/>
      <c r="D47" s="13"/>
      <c r="E47" s="13"/>
      <c r="F47" s="72">
        <f>F45-F46</f>
        <v>-45750000</v>
      </c>
      <c r="G47" s="72">
        <f>G45-G46</f>
        <v>-46799999.999999993</v>
      </c>
      <c r="H47" s="72">
        <f>H45-H46</f>
        <v>-12458437.772388496</v>
      </c>
      <c r="I47" s="72">
        <f>I45-I46</f>
        <v>5475480.0499526933</v>
      </c>
      <c r="J47" s="72">
        <f>J45-J46</f>
        <v>24311536.537018672</v>
      </c>
      <c r="K47" s="72">
        <f>K45-K46</f>
        <v>44083629.923406735</v>
      </c>
      <c r="L47" s="72">
        <f>L45-L46</f>
        <v>45279470.671491913</v>
      </c>
      <c r="M47" s="72">
        <f>M45-M46</f>
        <v>46505207.438279189</v>
      </c>
      <c r="N47" s="72">
        <f>N45-N46</f>
        <v>47761587.624236166</v>
      </c>
      <c r="O47" s="72">
        <f>O45-O46</f>
        <v>49049377.31484206</v>
      </c>
      <c r="P47" s="72">
        <f>P45-P46</f>
        <v>50369361.747713111</v>
      </c>
      <c r="Q47" s="72">
        <f>Q45-Q46</f>
        <v>51722345.791405946</v>
      </c>
      <c r="R47" s="72">
        <f>R45-R46</f>
        <v>53109154.436191082</v>
      </c>
      <c r="S47" s="72">
        <f>S45-S46</f>
        <v>54530633.297095843</v>
      </c>
      <c r="T47" s="72">
        <f>T45-T46</f>
        <v>55987649.12952324</v>
      </c>
      <c r="U47" s="72">
        <f>U45-U46</f>
        <v>57481090.357761323</v>
      </c>
      <c r="V47" s="72">
        <f>V45-V46</f>
        <v>59011867.616705343</v>
      </c>
      <c r="W47" s="72">
        <f>W45-W46</f>
        <v>60580914.307122976</v>
      </c>
      <c r="X47" s="72">
        <f>X45-X46</f>
        <v>62189187.164801031</v>
      </c>
      <c r="Y47" s="72">
        <f>Y45-Y46</f>
        <v>63837666.843921065</v>
      </c>
      <c r="Z47" s="72">
        <f>Z45-Z46</f>
        <v>65527358.515019059</v>
      </c>
      <c r="AA47" s="72">
        <f>AA45-AA46</f>
        <v>67259292.47789453</v>
      </c>
      <c r="AB47" s="72">
        <f>AB45-AB46</f>
        <v>69034524.789841905</v>
      </c>
      <c r="AC47" s="72">
        <f>AC45-AC46</f>
        <v>70854137.909587964</v>
      </c>
      <c r="AD47" s="72">
        <f>AD45-AD46</f>
        <v>72719241.35732764</v>
      </c>
      <c r="AE47" s="72">
        <f>AE45-AE46</f>
        <v>74630972.391260803</v>
      </c>
      <c r="AF47" s="72">
        <f>AF45-AF46</f>
        <v>76590496.701042324</v>
      </c>
    </row>
    <row r="48" spans="2:33" x14ac:dyDescent="0.25">
      <c r="B48" t="s">
        <v>6</v>
      </c>
      <c r="C48" s="13"/>
      <c r="D48" s="13"/>
      <c r="E48" s="13"/>
      <c r="F48" s="73">
        <f>IF(F64&lt;0,0,F64)</f>
        <v>0</v>
      </c>
      <c r="G48" s="73">
        <f>IF(G64&lt;0,0,G64)</f>
        <v>0</v>
      </c>
      <c r="H48" s="73">
        <f>IF(H64&lt;0,0,H64)</f>
        <v>0</v>
      </c>
      <c r="I48" s="73">
        <f>IF(I64&lt;0,0,I64)</f>
        <v>0</v>
      </c>
      <c r="J48" s="73">
        <f>IF(J64&lt;0,0,J64)</f>
        <v>0</v>
      </c>
      <c r="K48" s="73">
        <f>IF(K64&lt;0,0,K64)</f>
        <v>0</v>
      </c>
      <c r="L48" s="73">
        <f>IF(L64&lt;0,0,L64)</f>
        <v>0</v>
      </c>
      <c r="M48" s="73">
        <f>IF(M64&lt;0,0,M64)</f>
        <v>0</v>
      </c>
      <c r="N48" s="73">
        <f>IF(N64&lt;0,0,N64)</f>
        <v>0</v>
      </c>
      <c r="O48" s="73">
        <f>IF(O64&lt;0,0,O64)</f>
        <v>0</v>
      </c>
      <c r="P48" s="73">
        <f>IF(P64&lt;0,0,P64)</f>
        <v>0</v>
      </c>
      <c r="Q48" s="73">
        <f>IF(Q64&lt;0,0,Q64)</f>
        <v>0</v>
      </c>
      <c r="R48" s="73">
        <f>IF(R64&lt;0,0,R64)</f>
        <v>0</v>
      </c>
      <c r="S48" s="73">
        <f>IF(S64&lt;0,0,S64)</f>
        <v>0</v>
      </c>
      <c r="T48" s="73">
        <f>IF(T64&lt;0,0,T64)</f>
        <v>0</v>
      </c>
      <c r="U48" s="73">
        <f>IF(U64&lt;0,0,U64)</f>
        <v>1814825.9639588378</v>
      </c>
      <c r="V48" s="73">
        <f>IF(V64&lt;0,0,V64)</f>
        <v>5550160.2850116016</v>
      </c>
      <c r="W48" s="73">
        <f>IF(W64&lt;0,0,W64)</f>
        <v>18174274.292136893</v>
      </c>
      <c r="X48" s="73">
        <f>IF(X64&lt;0,0,X64)</f>
        <v>18656756.149440307</v>
      </c>
      <c r="Y48" s="73">
        <f>IF(Y64&lt;0,0,Y64)</f>
        <v>19151300.053176317</v>
      </c>
      <c r="Z48" s="73">
        <f>IF(Z64&lt;0,0,Z64)</f>
        <v>19658207.554505717</v>
      </c>
      <c r="AA48" s="73">
        <f>IF(AA64&lt;0,0,AA64)</f>
        <v>20177787.743368357</v>
      </c>
      <c r="AB48" s="73">
        <f>IF(AB64&lt;0,0,AB64)</f>
        <v>20710357.436952572</v>
      </c>
      <c r="AC48" s="73">
        <f>IF(AC64&lt;0,0,AC64)</f>
        <v>21256241.372876387</v>
      </c>
      <c r="AD48" s="73">
        <f>IF(AD64&lt;0,0,AD64)</f>
        <v>21815772.407198291</v>
      </c>
      <c r="AE48" s="73">
        <f>IF(AE64&lt;0,0,AE64)</f>
        <v>22389291.71737824</v>
      </c>
      <c r="AF48" s="73">
        <f>IF(AF64&lt;0,0,AF64)</f>
        <v>22977149.010312695</v>
      </c>
    </row>
    <row r="49" spans="2:32" x14ac:dyDescent="0.25">
      <c r="B49" t="s">
        <v>13</v>
      </c>
      <c r="C49" s="13"/>
      <c r="D49" s="13"/>
      <c r="E49" s="13"/>
      <c r="F49" s="72"/>
      <c r="G49" s="72"/>
      <c r="H49" s="72">
        <f>H47-H48</f>
        <v>-12458437.772388496</v>
      </c>
      <c r="I49" s="72">
        <f>I47-I48</f>
        <v>5475480.0499526933</v>
      </c>
      <c r="J49" s="72">
        <f>J47-J48</f>
        <v>24311536.537018672</v>
      </c>
      <c r="K49" s="72">
        <f>K47-K48</f>
        <v>44083629.923406735</v>
      </c>
      <c r="L49" s="72">
        <f>L47-L48</f>
        <v>45279470.671491913</v>
      </c>
      <c r="M49" s="72">
        <f>M47-M48</f>
        <v>46505207.438279189</v>
      </c>
      <c r="N49" s="72">
        <f>N47-N48</f>
        <v>47761587.624236166</v>
      </c>
      <c r="O49" s="72">
        <f>O47-O48</f>
        <v>49049377.31484206</v>
      </c>
      <c r="P49" s="72">
        <f>P47-P48</f>
        <v>50369361.747713111</v>
      </c>
      <c r="Q49" s="72">
        <f>Q47-Q48</f>
        <v>51722345.791405946</v>
      </c>
      <c r="R49" s="72">
        <f>R47-R48</f>
        <v>53109154.436191082</v>
      </c>
      <c r="S49" s="72">
        <f>S47-S48</f>
        <v>54530633.297095843</v>
      </c>
      <c r="T49" s="72">
        <f>T47-T48</f>
        <v>55987649.12952324</v>
      </c>
      <c r="U49" s="72">
        <f>U47-U48</f>
        <v>55666264.393802486</v>
      </c>
      <c r="V49" s="72">
        <f>V47-V48</f>
        <v>53461707.331693739</v>
      </c>
      <c r="W49" s="72">
        <f>W47-W48</f>
        <v>42406640.014986083</v>
      </c>
      <c r="X49" s="72">
        <f>X47-X48</f>
        <v>43532431.015360728</v>
      </c>
      <c r="Y49" s="72">
        <f>Y47-Y48</f>
        <v>44686366.790744752</v>
      </c>
      <c r="Z49" s="72">
        <f>Z47-Z48</f>
        <v>45869150.960513338</v>
      </c>
      <c r="AA49" s="72">
        <f>AA47-AA48</f>
        <v>47081504.734526172</v>
      </c>
      <c r="AB49" s="72">
        <f>AB47-AB48</f>
        <v>48324167.352889329</v>
      </c>
      <c r="AC49" s="72">
        <f>AC47-AC48</f>
        <v>49597896.536711574</v>
      </c>
      <c r="AD49" s="72">
        <f>AD47-AD48</f>
        <v>50903468.950129345</v>
      </c>
      <c r="AE49" s="72">
        <f>AE47-AE48</f>
        <v>52241680.673882559</v>
      </c>
      <c r="AF49" s="72">
        <f>AF47-AF48</f>
        <v>53613347.690729633</v>
      </c>
    </row>
    <row r="50" spans="2:32" x14ac:dyDescent="0.25">
      <c r="B50" s="12" t="s">
        <v>16</v>
      </c>
      <c r="C50" s="13"/>
      <c r="D50" s="13"/>
      <c r="E50" s="13"/>
      <c r="F50" s="72">
        <f>-F43</f>
        <v>-18230100</v>
      </c>
      <c r="G50" s="72">
        <f>-G43</f>
        <v>-436003225</v>
      </c>
      <c r="H50" s="72">
        <f>H49</f>
        <v>-12458437.772388496</v>
      </c>
      <c r="I50" s="72">
        <f>I49</f>
        <v>5475480.0499526933</v>
      </c>
      <c r="J50" s="72">
        <f>J49</f>
        <v>24311536.537018672</v>
      </c>
      <c r="K50" s="72">
        <f>K49</f>
        <v>44083629.923406735</v>
      </c>
      <c r="L50" s="72">
        <f>L49</f>
        <v>45279470.671491913</v>
      </c>
      <c r="M50" s="72">
        <f>M49</f>
        <v>46505207.438279189</v>
      </c>
      <c r="N50" s="72">
        <f>N49</f>
        <v>47761587.624236166</v>
      </c>
      <c r="O50" s="72">
        <f>O49</f>
        <v>49049377.31484206</v>
      </c>
      <c r="P50" s="72">
        <f>P49</f>
        <v>50369361.747713111</v>
      </c>
      <c r="Q50" s="72">
        <f>Q49</f>
        <v>51722345.791405946</v>
      </c>
      <c r="R50" s="72">
        <f>R49</f>
        <v>53109154.436191082</v>
      </c>
      <c r="S50" s="72">
        <f>S49</f>
        <v>54530633.297095843</v>
      </c>
      <c r="T50" s="72">
        <f>T49</f>
        <v>55987649.12952324</v>
      </c>
      <c r="U50" s="72">
        <f>U49</f>
        <v>55666264.393802486</v>
      </c>
      <c r="V50" s="72">
        <f>V49</f>
        <v>53461707.331693739</v>
      </c>
      <c r="W50" s="72">
        <f>W49</f>
        <v>42406640.014986083</v>
      </c>
      <c r="X50" s="72">
        <f>X49</f>
        <v>43532431.015360728</v>
      </c>
      <c r="Y50" s="72">
        <f>Y49</f>
        <v>44686366.790744752</v>
      </c>
      <c r="Z50" s="72">
        <f>Z49</f>
        <v>45869150.960513338</v>
      </c>
      <c r="AA50" s="72">
        <f>AA49</f>
        <v>47081504.734526172</v>
      </c>
      <c r="AB50" s="72">
        <f>AB49</f>
        <v>48324167.352889329</v>
      </c>
      <c r="AC50" s="72">
        <f>AC49</f>
        <v>49597896.536711574</v>
      </c>
      <c r="AD50" s="72">
        <f>AD49</f>
        <v>50903468.950129345</v>
      </c>
      <c r="AE50" s="72">
        <f>AE49</f>
        <v>52241680.673882559</v>
      </c>
      <c r="AF50" s="72">
        <f>AF49</f>
        <v>53613347.690729633</v>
      </c>
    </row>
    <row r="51" spans="2:32" x14ac:dyDescent="0.25">
      <c r="B51" s="12" t="s">
        <v>17</v>
      </c>
      <c r="C51" s="13"/>
      <c r="D51" s="13"/>
      <c r="E51" s="13"/>
      <c r="F51" s="72">
        <f>F49/F19</f>
        <v>0</v>
      </c>
      <c r="G51" s="72">
        <f>G49/G19</f>
        <v>0</v>
      </c>
      <c r="H51" s="72">
        <f>H49/H19</f>
        <v>-11858120.425830811</v>
      </c>
      <c r="I51" s="72">
        <f>I49/I19</f>
        <v>5084527.5488889078</v>
      </c>
      <c r="J51" s="72">
        <f>J49/J19</f>
        <v>22025052.201784868</v>
      </c>
      <c r="K51" s="72">
        <f>K49/K19</f>
        <v>38963505.321194254</v>
      </c>
      <c r="L51" s="72">
        <f>L49/L19</f>
        <v>39044345.65237806</v>
      </c>
      <c r="M51" s="72">
        <f>M49/M19</f>
        <v>39123214.268167123</v>
      </c>
      <c r="N51" s="72">
        <f>N49/N19</f>
        <v>39200159.259180851</v>
      </c>
      <c r="O51" s="72">
        <f>O49/O19</f>
        <v>39275227.543096676</v>
      </c>
      <c r="P51" s="72">
        <f>P49/P19</f>
        <v>39348464.893258475</v>
      </c>
      <c r="Q51" s="72">
        <f>Q49/Q19</f>
        <v>39419915.966587052</v>
      </c>
      <c r="R51" s="72">
        <f>R49/R19</f>
        <v>39489624.33081004</v>
      </c>
      <c r="S51" s="72">
        <f>S49/S19</f>
        <v>39557632.491027586</v>
      </c>
      <c r="T51" s="72">
        <f>T49/T19</f>
        <v>39623981.915630087</v>
      </c>
      <c r="U51" s="72">
        <f>U49/U19</f>
        <v>38435638.241813064</v>
      </c>
      <c r="V51" s="72">
        <f>V49/V19</f>
        <v>36013139.046186179</v>
      </c>
      <c r="W51" s="72">
        <f>W49/W19</f>
        <v>27869434.204990178</v>
      </c>
      <c r="X51" s="72">
        <f>X49/X19</f>
        <v>27911510.717790682</v>
      </c>
      <c r="Y51" s="72">
        <f>Y49/Y19</f>
        <v>27952560.974181429</v>
      </c>
      <c r="Z51" s="72">
        <f>Z49/Z19</f>
        <v>27992610.004806522</v>
      </c>
      <c r="AA51" s="72">
        <f>AA49/AA19</f>
        <v>28031682.229806632</v>
      </c>
      <c r="AB51" s="72">
        <f>AB49/AB19</f>
        <v>28069801.473709185</v>
      </c>
      <c r="AC51" s="72">
        <f>AC49/AC19</f>
        <v>28106990.979955576</v>
      </c>
      <c r="AD51" s="72">
        <f>AD49/AD19</f>
        <v>28143273.425073992</v>
      </c>
      <c r="AE51" s="72">
        <f>AE49/AE19</f>
        <v>28178670.932506595</v>
      </c>
      <c r="AF51" s="72">
        <f>AF49/AF19</f>
        <v>28213205.08609939</v>
      </c>
    </row>
    <row r="52" spans="2:32" x14ac:dyDescent="0.25">
      <c r="B52" t="s">
        <v>51</v>
      </c>
      <c r="C52" s="19">
        <f>SUM(G52:AF52)</f>
        <v>18230100.00000003</v>
      </c>
      <c r="D52" s="13"/>
      <c r="E52" s="13"/>
      <c r="F52" s="72">
        <f>F50/F21</f>
        <v>-18230100</v>
      </c>
      <c r="G52" s="72">
        <f>G50/G21</f>
        <v>-407479649.53271025</v>
      </c>
      <c r="H52" s="72">
        <f>H50/H21</f>
        <v>-10881682.044185951</v>
      </c>
      <c r="I52" s="72">
        <f>I50/I21</f>
        <v>4469622.7397345994</v>
      </c>
      <c r="J52" s="72">
        <f>J50/J21</f>
        <v>18547154.821610015</v>
      </c>
      <c r="K52" s="72">
        <f>K50/K21</f>
        <v>31431018.876861684</v>
      </c>
      <c r="L52" s="72">
        <f>L50/L21</f>
        <v>30171623.180476472</v>
      </c>
      <c r="M52" s="72">
        <f>M50/M21</f>
        <v>28961105.928477723</v>
      </c>
      <c r="N52" s="72">
        <f>N50/N21</f>
        <v>27797678.845786303</v>
      </c>
      <c r="O52" s="72">
        <f>O50/O21</f>
        <v>26679611.37428404</v>
      </c>
      <c r="P52" s="72">
        <f>P50/P21</f>
        <v>25605229.389727481</v>
      </c>
      <c r="Q52" s="72">
        <f>Q50/Q21</f>
        <v>24572913.897764765</v>
      </c>
      <c r="R52" s="72">
        <f>R50/R21</f>
        <v>23581099.714831978</v>
      </c>
      <c r="S52" s="72">
        <f>S50/S21</f>
        <v>22628274.139141668</v>
      </c>
      <c r="T52" s="72">
        <f>T50/T21</f>
        <v>21712975.616457719</v>
      </c>
      <c r="U52" s="72">
        <f>U50/U21</f>
        <v>20176015.95789291</v>
      </c>
      <c r="V52" s="72">
        <f>V50/V21</f>
        <v>18109329.930520691</v>
      </c>
      <c r="W52" s="72">
        <f>W50/W21</f>
        <v>13424856.214375149</v>
      </c>
      <c r="X52" s="72">
        <f>X50/X21</f>
        <v>12879675.527204422</v>
      </c>
      <c r="Y52" s="72">
        <f>Y50/Y21</f>
        <v>12356152.789619755</v>
      </c>
      <c r="Z52" s="72">
        <f>Z50/Z21</f>
        <v>11853460.251134649</v>
      </c>
      <c r="AA52" s="72">
        <f>AA50/AA21</f>
        <v>11370799.53689035</v>
      </c>
      <c r="AB52" s="72">
        <f>AB50/AB21</f>
        <v>10907400.767878549</v>
      </c>
      <c r="AC52" s="72">
        <f>AC50/AC21</f>
        <v>10462521.694897581</v>
      </c>
      <c r="AD52" s="72">
        <f>AD50/AD21</f>
        <v>10035446.847186491</v>
      </c>
      <c r="AE52" s="72">
        <f>AE50/AE21</f>
        <v>9625486.6965423245</v>
      </c>
      <c r="AF52" s="72">
        <f>AF50/AF21</f>
        <v>9231976.8375988603</v>
      </c>
    </row>
    <row r="53" spans="2:32" x14ac:dyDescent="0.25">
      <c r="B53" t="s">
        <v>18</v>
      </c>
      <c r="C53" s="19">
        <f>NPV(C21,G50:AF50)+F50</f>
        <v>0</v>
      </c>
      <c r="D53" s="13"/>
      <c r="E53" s="13"/>
      <c r="F53" s="76"/>
      <c r="G53" s="76"/>
      <c r="H53" s="76"/>
      <c r="I53" s="76"/>
      <c r="J53" s="76"/>
      <c r="K53" s="76"/>
      <c r="L53" s="76"/>
      <c r="M53" s="77"/>
      <c r="N53" s="77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</row>
    <row r="54" spans="2:32" x14ac:dyDescent="0.25">
      <c r="B54" t="s">
        <v>15</v>
      </c>
      <c r="C54" s="20">
        <f>IRR(F50:AF50,0.1)</f>
        <v>7.0000000000000062E-2</v>
      </c>
      <c r="D54" s="13"/>
      <c r="E54" s="13"/>
      <c r="F54" s="59"/>
      <c r="G54" s="59"/>
      <c r="H54" s="59"/>
      <c r="I54" s="59"/>
      <c r="J54" s="59"/>
      <c r="K54" s="59"/>
      <c r="L54" s="59"/>
      <c r="M54" s="64"/>
      <c r="N54" s="64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</row>
    <row r="55" spans="2:32" x14ac:dyDescent="0.25">
      <c r="C55" s="20"/>
      <c r="D55" s="13"/>
      <c r="E55" s="13"/>
      <c r="F55" s="59"/>
      <c r="G55" s="59"/>
      <c r="H55" s="59"/>
      <c r="I55" s="59"/>
      <c r="J55" s="59"/>
      <c r="K55" s="59"/>
      <c r="L55" s="59"/>
      <c r="M55" s="64"/>
      <c r="N55" s="64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</row>
    <row r="56" spans="2:32" x14ac:dyDescent="0.25">
      <c r="B56" t="s">
        <v>52</v>
      </c>
      <c r="C56" s="20"/>
      <c r="F56" s="72">
        <f>E56+F50</f>
        <v>-18230100</v>
      </c>
      <c r="G56" s="72">
        <f>F56+G50</f>
        <v>-454233325</v>
      </c>
      <c r="H56" s="72">
        <f>G56+H50</f>
        <v>-466691762.77238852</v>
      </c>
      <c r="I56" s="72">
        <f>H56+I50</f>
        <v>-461216282.72243583</v>
      </c>
      <c r="J56" s="72">
        <f>I56+J50</f>
        <v>-436904746.18541718</v>
      </c>
      <c r="K56" s="72">
        <f>J56+K50</f>
        <v>-392821116.26201046</v>
      </c>
      <c r="L56" s="72">
        <f>K56+L50</f>
        <v>-347541645.59051853</v>
      </c>
      <c r="M56" s="72">
        <f>L56+M50</f>
        <v>-301036438.15223932</v>
      </c>
      <c r="N56" s="72">
        <f>M56+N50</f>
        <v>-253274850.52800316</v>
      </c>
      <c r="O56" s="72">
        <f>N56+O50</f>
        <v>-204225473.21316111</v>
      </c>
      <c r="P56" s="72">
        <f>O56+P50</f>
        <v>-153856111.46544799</v>
      </c>
      <c r="Q56" s="72">
        <f>P56+Q50</f>
        <v>-102133765.67404205</v>
      </c>
      <c r="R56" s="72">
        <f>Q56+R50</f>
        <v>-49024611.237850964</v>
      </c>
      <c r="S56" s="72">
        <f>R56+S50</f>
        <v>5506022.0592448786</v>
      </c>
      <c r="T56" s="72">
        <f>S56+T50</f>
        <v>61493671.188768119</v>
      </c>
      <c r="U56" s="72">
        <f>T56+U50</f>
        <v>117159935.58257061</v>
      </c>
      <c r="V56" s="72">
        <f>U56+V50</f>
        <v>170621642.91426435</v>
      </c>
      <c r="W56" s="72">
        <f>V56+W50</f>
        <v>213028282.92925042</v>
      </c>
      <c r="X56" s="72">
        <f>W56+X50</f>
        <v>256560713.94461113</v>
      </c>
      <c r="Y56" s="72">
        <f>X56+Y50</f>
        <v>301247080.73535585</v>
      </c>
      <c r="Z56" s="72">
        <f>Y56+Z50</f>
        <v>347116231.69586921</v>
      </c>
      <c r="AA56" s="72">
        <f>Z56+AA50</f>
        <v>394197736.43039536</v>
      </c>
      <c r="AB56" s="72">
        <f>AA56+AB50</f>
        <v>442521903.78328466</v>
      </c>
      <c r="AC56" s="72">
        <f>AB56+AC50</f>
        <v>492119800.31999624</v>
      </c>
      <c r="AD56" s="72">
        <f>AC56+AD50</f>
        <v>543023269.27012563</v>
      </c>
      <c r="AE56" s="72">
        <f>AD56+AE50</f>
        <v>595264949.94400823</v>
      </c>
      <c r="AF56" s="72">
        <f>AE56+AF50</f>
        <v>648878297.63473785</v>
      </c>
    </row>
    <row r="57" spans="2:32" x14ac:dyDescent="0.25">
      <c r="B57" s="28" t="s">
        <v>29</v>
      </c>
      <c r="C57" s="30">
        <f>SUM(H57:N57)</f>
        <v>0</v>
      </c>
      <c r="D57" s="13"/>
      <c r="E57" s="13"/>
      <c r="F57" s="59"/>
      <c r="G57" s="59"/>
      <c r="H57" s="65"/>
      <c r="I57" s="65"/>
      <c r="J57" s="65"/>
      <c r="K57" s="65"/>
      <c r="L57" s="65"/>
      <c r="M57" s="65"/>
      <c r="N57" s="65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</row>
    <row r="58" spans="2:32" s="2" customFormat="1" x14ac:dyDescent="0.25">
      <c r="B58" s="29" t="s">
        <v>31</v>
      </c>
      <c r="C58" s="49" t="s">
        <v>62</v>
      </c>
      <c r="D58" s="21"/>
      <c r="E58" s="21"/>
      <c r="F58" s="66"/>
      <c r="G58" s="66"/>
      <c r="H58" s="66"/>
      <c r="I58" s="66"/>
      <c r="J58" s="66"/>
      <c r="K58" s="70"/>
      <c r="L58" s="70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</row>
    <row r="59" spans="2:32" x14ac:dyDescent="0.25">
      <c r="D59" s="13"/>
      <c r="E59" s="13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</row>
    <row r="60" spans="2:32" x14ac:dyDescent="0.25">
      <c r="B60" s="8" t="s">
        <v>61</v>
      </c>
      <c r="D60" s="13"/>
      <c r="E60" s="13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</row>
    <row r="61" spans="2:32" x14ac:dyDescent="0.25">
      <c r="B61" t="s">
        <v>22</v>
      </c>
      <c r="D61" s="13"/>
      <c r="E61" s="13"/>
      <c r="F61" s="72">
        <f>F47</f>
        <v>-45750000</v>
      </c>
      <c r="G61" s="72">
        <f>G47</f>
        <v>-46799999.999999993</v>
      </c>
      <c r="H61" s="72">
        <f>H47</f>
        <v>-12458437.772388496</v>
      </c>
      <c r="I61" s="72">
        <f>I47</f>
        <v>5475480.0499526933</v>
      </c>
      <c r="J61" s="72">
        <f>J47</f>
        <v>24311536.537018672</v>
      </c>
      <c r="K61" s="72">
        <f>K47</f>
        <v>44083629.923406735</v>
      </c>
      <c r="L61" s="72">
        <f>L47</f>
        <v>45279470.671491913</v>
      </c>
      <c r="M61" s="72">
        <f>M47</f>
        <v>46505207.438279189</v>
      </c>
      <c r="N61" s="72">
        <f>N47</f>
        <v>47761587.624236166</v>
      </c>
      <c r="O61" s="72">
        <f>O47</f>
        <v>49049377.31484206</v>
      </c>
      <c r="P61" s="72">
        <f>P47</f>
        <v>50369361.747713111</v>
      </c>
      <c r="Q61" s="72">
        <f>Q47</f>
        <v>51722345.791405946</v>
      </c>
      <c r="R61" s="72">
        <f>R47</f>
        <v>53109154.436191082</v>
      </c>
      <c r="S61" s="72">
        <f>S47</f>
        <v>54530633.297095843</v>
      </c>
      <c r="T61" s="72">
        <f>T47</f>
        <v>55987649.12952324</v>
      </c>
      <c r="U61" s="72">
        <f>U47</f>
        <v>57481090.357761323</v>
      </c>
      <c r="V61" s="72">
        <f>V47</f>
        <v>59011867.616705343</v>
      </c>
      <c r="W61" s="72">
        <f>W47</f>
        <v>60580914.307122976</v>
      </c>
      <c r="X61" s="72">
        <f>X47</f>
        <v>62189187.164801031</v>
      </c>
      <c r="Y61" s="72">
        <f>Y47</f>
        <v>63837666.843921065</v>
      </c>
      <c r="Z61" s="72">
        <f>Z47</f>
        <v>65527358.515019059</v>
      </c>
      <c r="AA61" s="72">
        <f>AA47</f>
        <v>67259292.47789453</v>
      </c>
      <c r="AB61" s="72">
        <f>AB47</f>
        <v>69034524.789841905</v>
      </c>
      <c r="AC61" s="72">
        <f>AC47</f>
        <v>70854137.909587964</v>
      </c>
      <c r="AD61" s="72">
        <f>AD47</f>
        <v>72719241.35732764</v>
      </c>
      <c r="AE61" s="72">
        <f>AE47</f>
        <v>74630972.391260803</v>
      </c>
      <c r="AF61" s="72">
        <f>AF47</f>
        <v>76590496.701042324</v>
      </c>
    </row>
    <row r="62" spans="2:32" x14ac:dyDescent="0.25">
      <c r="B62" t="s">
        <v>7</v>
      </c>
      <c r="C62" s="10">
        <v>15</v>
      </c>
      <c r="D62" s="13" t="s">
        <v>8</v>
      </c>
      <c r="E62" s="13"/>
      <c r="F62" s="73"/>
      <c r="G62" s="73"/>
      <c r="H62" s="78">
        <f>($F24+$G24)/$C62</f>
        <v>40511333.333333336</v>
      </c>
      <c r="I62" s="78">
        <f>($F24+$G24)/$C62</f>
        <v>40511333.333333336</v>
      </c>
      <c r="J62" s="78">
        <f>($F24+$G24)/$C62</f>
        <v>40511333.333333336</v>
      </c>
      <c r="K62" s="78">
        <f>($F24+$G24)/$C62</f>
        <v>40511333.333333336</v>
      </c>
      <c r="L62" s="78">
        <f>($F24+$G24)/$C62</f>
        <v>40511333.333333336</v>
      </c>
      <c r="M62" s="78">
        <f>($F24+$G24)/$C62</f>
        <v>40511333.333333336</v>
      </c>
      <c r="N62" s="78">
        <f>($F24+$G24)/$C62</f>
        <v>40511333.333333336</v>
      </c>
      <c r="O62" s="78">
        <f>($F24+$G24)/$C62</f>
        <v>40511333.333333336</v>
      </c>
      <c r="P62" s="78">
        <f>($F24+$G24)/$C62</f>
        <v>40511333.333333336</v>
      </c>
      <c r="Q62" s="78">
        <f>($F24+$G24)/$C62</f>
        <v>40511333.333333336</v>
      </c>
      <c r="R62" s="78">
        <f>($F24+$G24)/$C62</f>
        <v>40511333.333333336</v>
      </c>
      <c r="S62" s="78">
        <f>($F24+$G24)/$C62</f>
        <v>40511333.333333336</v>
      </c>
      <c r="T62" s="78">
        <f>($F24+$G24)/$C62</f>
        <v>40511333.333333336</v>
      </c>
      <c r="U62" s="78">
        <f>($F24+$G24)/$C62</f>
        <v>40511333.333333336</v>
      </c>
      <c r="V62" s="78">
        <f>($F24+$G24)/$C62</f>
        <v>40511333.333333336</v>
      </c>
      <c r="W62" s="78"/>
      <c r="X62" s="78"/>
      <c r="Y62" s="78"/>
      <c r="Z62" s="78"/>
      <c r="AA62" s="78"/>
      <c r="AB62" s="78"/>
      <c r="AC62" s="78"/>
      <c r="AD62" s="78"/>
      <c r="AE62" s="78"/>
      <c r="AF62" s="78"/>
    </row>
    <row r="63" spans="2:32" x14ac:dyDescent="0.25">
      <c r="B63" t="s">
        <v>10</v>
      </c>
      <c r="D63" s="13"/>
      <c r="E63" s="13"/>
      <c r="F63" s="72"/>
      <c r="G63" s="72"/>
      <c r="H63" s="72">
        <f>H61-H62+G65</f>
        <v>-52969771.105721831</v>
      </c>
      <c r="I63" s="72">
        <f>I61-I62+H65</f>
        <v>-88005624.389102474</v>
      </c>
      <c r="J63" s="72">
        <f>J61-J62+I65</f>
        <v>-104205421.18541715</v>
      </c>
      <c r="K63" s="72">
        <f>K61-K62+J65</f>
        <v>-100633124.59534374</v>
      </c>
      <c r="L63" s="72">
        <f>L61-L62+K65</f>
        <v>-95864987.257185161</v>
      </c>
      <c r="M63" s="72">
        <f>M61-M62+L65</f>
        <v>-89871113.152239308</v>
      </c>
      <c r="N63" s="72">
        <f>N61-N62+M65</f>
        <v>-82620858.86133647</v>
      </c>
      <c r="O63" s="72">
        <f>O61-O62+N65</f>
        <v>-74082814.879827738</v>
      </c>
      <c r="P63" s="72">
        <f>P61-P62+O65</f>
        <v>-64224786.465447962</v>
      </c>
      <c r="Q63" s="72">
        <f>Q61-Q62+P65</f>
        <v>-53013774.007375352</v>
      </c>
      <c r="R63" s="72">
        <f>R61-R62+Q65</f>
        <v>-40415952.904517606</v>
      </c>
      <c r="S63" s="72">
        <f>S61-S62+R65</f>
        <v>-26396652.940755099</v>
      </c>
      <c r="T63" s="72">
        <f>T61-T62+S65</f>
        <v>-10920337.144565195</v>
      </c>
      <c r="U63" s="72">
        <f>U61-U62+T65</f>
        <v>6049419.8798627928</v>
      </c>
      <c r="V63" s="72">
        <f>V61-V62+U65</f>
        <v>18500534.283372007</v>
      </c>
      <c r="W63" s="72">
        <f>W61-W62+V65</f>
        <v>60580914.307122976</v>
      </c>
      <c r="X63" s="72">
        <f>X61-X62+W65</f>
        <v>62189187.164801031</v>
      </c>
      <c r="Y63" s="72">
        <f>Y61-Y62+X65</f>
        <v>63837666.843921065</v>
      </c>
      <c r="Z63" s="72">
        <f>Z61-Z62+Y65</f>
        <v>65527358.515019059</v>
      </c>
      <c r="AA63" s="72">
        <f>AA61-AA62+Z65</f>
        <v>67259292.47789453</v>
      </c>
      <c r="AB63" s="72">
        <f>AB61-AB62+AA65</f>
        <v>69034524.789841905</v>
      </c>
      <c r="AC63" s="72">
        <f>AC61-AC62+AB65</f>
        <v>70854137.909587964</v>
      </c>
      <c r="AD63" s="72">
        <f>AD61-AD62+AC65</f>
        <v>72719241.35732764</v>
      </c>
      <c r="AE63" s="72">
        <f>AE61-AE62+AD65</f>
        <v>74630972.391260803</v>
      </c>
      <c r="AF63" s="72">
        <f>AF61-AF62+AE65</f>
        <v>76590496.701042324</v>
      </c>
    </row>
    <row r="64" spans="2:32" x14ac:dyDescent="0.25">
      <c r="B64" t="s">
        <v>23</v>
      </c>
      <c r="C64" s="11">
        <v>0.3</v>
      </c>
      <c r="D64" s="13"/>
      <c r="E64" s="13"/>
      <c r="F64" s="79"/>
      <c r="G64" s="79"/>
      <c r="H64" s="83">
        <f>H63*$C64</f>
        <v>-15890931.331716549</v>
      </c>
      <c r="I64" s="83">
        <f>I63*$C64</f>
        <v>-26401687.316730741</v>
      </c>
      <c r="J64" s="83">
        <f>J63*$C64</f>
        <v>-31261626.355625141</v>
      </c>
      <c r="K64" s="83">
        <f>K63*$C64</f>
        <v>-30189937.378603119</v>
      </c>
      <c r="L64" s="83">
        <f>L63*$C64</f>
        <v>-28759496.177155547</v>
      </c>
      <c r="M64" s="83">
        <f>M63*$C64</f>
        <v>-26961333.945671793</v>
      </c>
      <c r="N64" s="83">
        <f>N63*$C64</f>
        <v>-24786257.658400942</v>
      </c>
      <c r="O64" s="83">
        <f>O63*$C64</f>
        <v>-22224844.463948321</v>
      </c>
      <c r="P64" s="83">
        <f>P63*$C64</f>
        <v>-19267435.939634386</v>
      </c>
      <c r="Q64" s="83">
        <f>Q63*$C64</f>
        <v>-15904132.202212606</v>
      </c>
      <c r="R64" s="83">
        <f>R63*$C64</f>
        <v>-12124785.871355282</v>
      </c>
      <c r="S64" s="83">
        <f>S63*$C64</f>
        <v>-7918995.8822265295</v>
      </c>
      <c r="T64" s="83">
        <f>T63*$C64</f>
        <v>-3276101.1433695583</v>
      </c>
      <c r="U64" s="83">
        <f>U63*$C64</f>
        <v>1814825.9639588378</v>
      </c>
      <c r="V64" s="83">
        <f>V63*$C64</f>
        <v>5550160.2850116016</v>
      </c>
      <c r="W64" s="83">
        <f>W63*$C64</f>
        <v>18174274.292136893</v>
      </c>
      <c r="X64" s="83">
        <f>X63*$C64</f>
        <v>18656756.149440307</v>
      </c>
      <c r="Y64" s="83">
        <f>Y63*$C64</f>
        <v>19151300.053176317</v>
      </c>
      <c r="Z64" s="83">
        <f>Z63*$C64</f>
        <v>19658207.554505717</v>
      </c>
      <c r="AA64" s="83">
        <f>AA63*$C64</f>
        <v>20177787.743368357</v>
      </c>
      <c r="AB64" s="83">
        <f>AB63*$C64</f>
        <v>20710357.436952572</v>
      </c>
      <c r="AC64" s="83">
        <f>AC63*$C64</f>
        <v>21256241.372876387</v>
      </c>
      <c r="AD64" s="83">
        <f>AD63*$C64</f>
        <v>21815772.407198291</v>
      </c>
      <c r="AE64" s="83">
        <f>AE63*$C64</f>
        <v>22389291.71737824</v>
      </c>
      <c r="AF64" s="83">
        <f>AF63*$C64</f>
        <v>22977149.010312695</v>
      </c>
    </row>
    <row r="65" spans="2:32" x14ac:dyDescent="0.25">
      <c r="B65" t="s">
        <v>50</v>
      </c>
      <c r="C65" s="11"/>
      <c r="D65" s="13"/>
      <c r="E65" s="13"/>
      <c r="F65" s="17"/>
      <c r="G65" s="17"/>
      <c r="H65" s="17">
        <f>IF(H63&lt;0,H63,0)</f>
        <v>-52969771.105721831</v>
      </c>
      <c r="I65" s="17">
        <f>IF(I63&lt;0,I63,0)</f>
        <v>-88005624.389102474</v>
      </c>
      <c r="J65" s="17">
        <f>IF(J63&lt;0,J63,0)</f>
        <v>-104205421.18541715</v>
      </c>
      <c r="K65" s="17">
        <f>IF(K63&lt;0,K63,0)</f>
        <v>-100633124.59534374</v>
      </c>
      <c r="L65" s="17">
        <f>IF(L63&lt;0,L63,0)</f>
        <v>-95864987.257185161</v>
      </c>
      <c r="M65" s="17">
        <f>IF(M63&lt;0,M63,0)</f>
        <v>-89871113.152239308</v>
      </c>
      <c r="N65" s="17">
        <f>IF(N63&lt;0,N63,0)</f>
        <v>-82620858.86133647</v>
      </c>
      <c r="O65" s="17">
        <f>IF(O63&lt;0,O63,0)</f>
        <v>-74082814.879827738</v>
      </c>
      <c r="P65" s="17">
        <f>IF(P63&lt;0,P63,0)</f>
        <v>-64224786.465447962</v>
      </c>
      <c r="Q65" s="17">
        <f>IF(Q63&lt;0,Q63,0)</f>
        <v>-53013774.007375352</v>
      </c>
      <c r="R65" s="17">
        <f>IF(R63&lt;0,R63,0)</f>
        <v>-40415952.904517606</v>
      </c>
      <c r="S65" s="17">
        <f>IF(S63&lt;0,S63,0)</f>
        <v>-26396652.940755099</v>
      </c>
      <c r="T65" s="17">
        <f>IF(T63&lt;0,T63,0)</f>
        <v>-10920337.144565195</v>
      </c>
      <c r="U65" s="17">
        <f>IF(U63&lt;0,U63,0)</f>
        <v>0</v>
      </c>
      <c r="V65" s="17">
        <f>IF(V63&lt;0,V63,0)</f>
        <v>0</v>
      </c>
      <c r="W65" s="17">
        <f>IF(W63&lt;0,W63,0)</f>
        <v>0</v>
      </c>
      <c r="X65" s="17">
        <f>IF(X63&lt;0,X63,0)</f>
        <v>0</v>
      </c>
      <c r="Y65" s="17">
        <f>IF(Y63&lt;0,Y63,0)</f>
        <v>0</v>
      </c>
      <c r="Z65" s="17">
        <f>IF(Z63&lt;0,Z63,0)</f>
        <v>0</v>
      </c>
      <c r="AA65" s="17">
        <f>IF(AA63&lt;0,AA63,0)</f>
        <v>0</v>
      </c>
      <c r="AB65" s="17">
        <f>IF(AB63&lt;0,AB63,0)</f>
        <v>0</v>
      </c>
      <c r="AC65" s="17">
        <f>IF(AC63&lt;0,AC63,0)</f>
        <v>0</v>
      </c>
      <c r="AD65" s="17">
        <f>IF(AD63&lt;0,AD63,0)</f>
        <v>0</v>
      </c>
      <c r="AE65" s="17">
        <f>IF(AE63&lt;0,AE63,0)</f>
        <v>0</v>
      </c>
      <c r="AF65" s="17">
        <f>IF(AF63&lt;0,AF63,0)</f>
        <v>0</v>
      </c>
    </row>
    <row r="66" spans="2:32" hidden="1" x14ac:dyDescent="0.25">
      <c r="B66" t="s">
        <v>12</v>
      </c>
      <c r="C66" s="11"/>
      <c r="D66" s="13"/>
      <c r="E66" s="13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2:32" hidden="1" x14ac:dyDescent="0.25">
      <c r="B67" t="s">
        <v>11</v>
      </c>
      <c r="D67" s="13"/>
      <c r="E67" s="13"/>
      <c r="F67" s="18"/>
      <c r="G67" s="18"/>
      <c r="H67" s="18"/>
      <c r="I67" s="18"/>
      <c r="J67" s="55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</row>
    <row r="68" spans="2:32" hidden="1" x14ac:dyDescent="0.25">
      <c r="B68" t="s">
        <v>6</v>
      </c>
      <c r="D68" s="13"/>
      <c r="E68" s="13"/>
      <c r="F68" s="17"/>
      <c r="G68" s="17"/>
      <c r="H68" s="56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2:32" hidden="1" x14ac:dyDescent="0.25">
      <c r="B69" t="s">
        <v>12</v>
      </c>
      <c r="D69" s="13"/>
      <c r="E69" s="13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2:32" x14ac:dyDescent="0.25">
      <c r="D70" s="13"/>
      <c r="E70" s="13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 spans="2:32" s="2" customFormat="1" x14ac:dyDescent="0.25">
      <c r="D71" s="21"/>
      <c r="E71" s="21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</row>
    <row r="72" spans="2:32" x14ac:dyDescent="0.25"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2:32" x14ac:dyDescent="0.25"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2:32" x14ac:dyDescent="0.25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</sheetData>
  <pageMargins left="0.7" right="0.7" top="0.75" bottom="0.75" header="0.3" footer="0.3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0E5A-4F87-479C-AD3E-454F5D22AC67}">
  <dimension ref="B2:Q17"/>
  <sheetViews>
    <sheetView showGridLines="0" topLeftCell="G2" workbookViewId="0">
      <selection activeCell="M21" sqref="M21"/>
    </sheetView>
  </sheetViews>
  <sheetFormatPr defaultRowHeight="15" x14ac:dyDescent="0.25"/>
  <cols>
    <col min="1" max="1" width="1" customWidth="1"/>
    <col min="2" max="2" width="23.5703125" customWidth="1"/>
    <col min="3" max="3" width="16.42578125" customWidth="1"/>
    <col min="4" max="4" width="16.140625" customWidth="1"/>
    <col min="5" max="5" width="13.85546875" customWidth="1"/>
    <col min="6" max="6" width="14" customWidth="1"/>
    <col min="7" max="7" width="13.42578125" customWidth="1"/>
    <col min="8" max="8" width="15.85546875" customWidth="1"/>
    <col min="9" max="9" width="17.85546875" customWidth="1"/>
    <col min="10" max="10" width="15.85546875" customWidth="1"/>
    <col min="11" max="11" width="15.7109375" customWidth="1"/>
    <col min="12" max="12" width="14.85546875" customWidth="1"/>
    <col min="13" max="13" width="15" customWidth="1"/>
    <col min="14" max="14" width="17.140625" customWidth="1"/>
    <col min="15" max="15" width="16.85546875" customWidth="1"/>
    <col min="16" max="16" width="17.140625" customWidth="1"/>
    <col min="17" max="17" width="16" customWidth="1"/>
  </cols>
  <sheetData>
    <row r="2" spans="2:17" ht="4.5" customHeight="1" thickBot="1" x14ac:dyDescent="0.3"/>
    <row r="3" spans="2:17" ht="21" customHeight="1" x14ac:dyDescent="0.25">
      <c r="B3" s="48" t="s">
        <v>32</v>
      </c>
      <c r="C3" s="39" t="s">
        <v>35</v>
      </c>
      <c r="D3" s="39"/>
      <c r="E3" s="88">
        <v>522280000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1"/>
    </row>
    <row r="4" spans="2:17" ht="21" customHeight="1" x14ac:dyDescent="0.25">
      <c r="B4" s="44"/>
      <c r="C4" s="28" t="s">
        <v>33</v>
      </c>
      <c r="D4" s="28"/>
      <c r="E4" s="42">
        <v>0.6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43"/>
    </row>
    <row r="5" spans="2:17" ht="9" customHeight="1" x14ac:dyDescent="0.25">
      <c r="B5" s="44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43"/>
    </row>
    <row r="6" spans="2:17" ht="21" customHeight="1" x14ac:dyDescent="0.25">
      <c r="B6" s="45" t="s">
        <v>34</v>
      </c>
      <c r="C6" s="2"/>
      <c r="D6" s="2"/>
      <c r="E6" s="2"/>
      <c r="F6" s="2"/>
      <c r="G6" s="2"/>
      <c r="H6" s="2"/>
      <c r="I6" s="28"/>
      <c r="J6" s="28"/>
      <c r="K6" s="28"/>
      <c r="L6" s="28"/>
      <c r="M6" s="28"/>
      <c r="N6" s="28"/>
      <c r="O6" s="28"/>
      <c r="P6" s="28"/>
      <c r="Q6" s="43"/>
    </row>
    <row r="7" spans="2:17" ht="21" customHeight="1" x14ac:dyDescent="0.25">
      <c r="B7" s="31"/>
      <c r="C7" s="32">
        <v>2021</v>
      </c>
      <c r="D7" s="32">
        <f>C7+1</f>
        <v>2022</v>
      </c>
      <c r="E7" s="32">
        <f>D7+1</f>
        <v>2023</v>
      </c>
      <c r="F7" s="32">
        <f>E7+1</f>
        <v>2024</v>
      </c>
      <c r="G7" s="32">
        <f>F7+1</f>
        <v>2025</v>
      </c>
      <c r="H7" s="32">
        <f>G7+1</f>
        <v>2026</v>
      </c>
      <c r="I7" s="32">
        <f>H7+1</f>
        <v>2027</v>
      </c>
      <c r="J7" s="32">
        <f>I7+1</f>
        <v>2028</v>
      </c>
      <c r="K7" s="32">
        <f>J7+1</f>
        <v>2029</v>
      </c>
      <c r="L7" s="32">
        <f>K7+1</f>
        <v>2030</v>
      </c>
      <c r="M7" s="32">
        <f>L7+1</f>
        <v>2031</v>
      </c>
      <c r="N7" s="32">
        <f>M7+1</f>
        <v>2032</v>
      </c>
      <c r="O7" s="32">
        <f>N7+1</f>
        <v>2033</v>
      </c>
      <c r="P7" s="32">
        <f>O7+1</f>
        <v>2034</v>
      </c>
      <c r="Q7" s="33">
        <f>P7+1</f>
        <v>2035</v>
      </c>
    </row>
    <row r="8" spans="2:17" ht="21" customHeight="1" x14ac:dyDescent="0.25">
      <c r="B8" s="31" t="s">
        <v>36</v>
      </c>
      <c r="C8" s="35">
        <f>-E3</f>
        <v>-522280000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86">
        <v>0</v>
      </c>
    </row>
    <row r="9" spans="2:17" ht="21" customHeight="1" x14ac:dyDescent="0.25">
      <c r="B9" s="31" t="s">
        <v>7</v>
      </c>
      <c r="C9" s="35"/>
      <c r="D9" s="35">
        <f>$C8*$E4</f>
        <v>-313368000</v>
      </c>
      <c r="E9" s="35">
        <f>$C8*$E4</f>
        <v>-313368000</v>
      </c>
      <c r="F9" s="35">
        <f>$C8*$E4</f>
        <v>-313368000</v>
      </c>
      <c r="G9" s="35">
        <f>$C8*$E4</f>
        <v>-313368000</v>
      </c>
      <c r="H9" s="35">
        <f>$C8*$E4</f>
        <v>-313368000</v>
      </c>
      <c r="I9" s="35">
        <f>$C8*$E4</f>
        <v>-313368000</v>
      </c>
      <c r="J9" s="35">
        <f>$C8*$E4</f>
        <v>-313368000</v>
      </c>
      <c r="K9" s="35">
        <f>$C8*$E4</f>
        <v>-313368000</v>
      </c>
      <c r="L9" s="35">
        <f>$C8*$E4</f>
        <v>-313368000</v>
      </c>
      <c r="M9" s="35">
        <f>$C8*$E4</f>
        <v>-313368000</v>
      </c>
      <c r="N9" s="35">
        <f>$C8*$E4</f>
        <v>-313368000</v>
      </c>
      <c r="O9" s="35">
        <f>$C8*$E4</f>
        <v>-313368000</v>
      </c>
      <c r="P9" s="35">
        <f>$C8*$E4</f>
        <v>-313368000</v>
      </c>
      <c r="Q9" s="86">
        <f>$C8*$E4</f>
        <v>-313368000</v>
      </c>
    </row>
    <row r="10" spans="2:17" ht="21" customHeight="1" x14ac:dyDescent="0.25">
      <c r="B10" s="31" t="s">
        <v>37</v>
      </c>
      <c r="C10" s="36">
        <f>-C8</f>
        <v>522280000</v>
      </c>
      <c r="D10" s="36">
        <f>D9-C8</f>
        <v>208912000</v>
      </c>
      <c r="E10" s="36">
        <f>D10+E9</f>
        <v>-104456000</v>
      </c>
      <c r="F10" s="36">
        <f>E10+F9</f>
        <v>-417824000</v>
      </c>
      <c r="G10" s="36">
        <f>F10+G9</f>
        <v>-731192000</v>
      </c>
      <c r="H10" s="36">
        <f>G10+H9</f>
        <v>-1044560000</v>
      </c>
      <c r="I10" s="36">
        <f>H10+I9</f>
        <v>-1357928000</v>
      </c>
      <c r="J10" s="36">
        <f>I10+J9</f>
        <v>-1671296000</v>
      </c>
      <c r="K10" s="36">
        <f>J10+K9</f>
        <v>-1984664000</v>
      </c>
      <c r="L10" s="36">
        <f>K10+L9</f>
        <v>-2298032000</v>
      </c>
      <c r="M10" s="36">
        <f>L10+M9</f>
        <v>-2611400000</v>
      </c>
      <c r="N10" s="36">
        <f>M10+N9</f>
        <v>-2924768000</v>
      </c>
      <c r="O10" s="36">
        <f>N10+O9</f>
        <v>-3238136000</v>
      </c>
      <c r="P10" s="36">
        <f>O10+P9</f>
        <v>-3551504000</v>
      </c>
      <c r="Q10" s="87">
        <f>P10+Q9</f>
        <v>-3864872000</v>
      </c>
    </row>
    <row r="11" spans="2:17" ht="8.25" customHeight="1" x14ac:dyDescent="0.25">
      <c r="B11" s="46"/>
      <c r="C11" s="47"/>
      <c r="D11" s="47"/>
      <c r="E11" s="47"/>
      <c r="F11" s="47"/>
      <c r="G11" s="47"/>
      <c r="H11" s="47"/>
      <c r="I11" s="28"/>
      <c r="J11" s="28"/>
      <c r="K11" s="28"/>
      <c r="L11" s="28"/>
      <c r="M11" s="28"/>
      <c r="N11" s="28"/>
      <c r="O11" s="28"/>
      <c r="P11" s="28"/>
      <c r="Q11" s="43"/>
    </row>
    <row r="12" spans="2:17" ht="21" customHeight="1" x14ac:dyDescent="0.25">
      <c r="B12" s="45" t="s">
        <v>38</v>
      </c>
      <c r="C12" s="2"/>
      <c r="D12" s="2"/>
      <c r="E12" s="2"/>
      <c r="F12" s="2"/>
      <c r="G12" s="2"/>
      <c r="H12" s="2"/>
      <c r="I12" s="28"/>
      <c r="J12" s="28"/>
      <c r="K12" s="28"/>
      <c r="L12" s="28"/>
      <c r="M12" s="28"/>
      <c r="N12" s="28"/>
      <c r="O12" s="28"/>
      <c r="P12" s="28"/>
      <c r="Q12" s="43"/>
    </row>
    <row r="13" spans="2:17" ht="21" customHeight="1" x14ac:dyDescent="0.25">
      <c r="B13" s="34"/>
      <c r="C13" s="32">
        <f>C7</f>
        <v>2021</v>
      </c>
      <c r="D13" s="32">
        <f>D7</f>
        <v>2022</v>
      </c>
      <c r="E13" s="32">
        <f>E7</f>
        <v>2023</v>
      </c>
      <c r="F13" s="32">
        <f>F7</f>
        <v>2024</v>
      </c>
      <c r="G13" s="32">
        <f>G7</f>
        <v>2025</v>
      </c>
      <c r="H13" s="32">
        <f>H7</f>
        <v>2026</v>
      </c>
      <c r="I13" s="32">
        <f>I7</f>
        <v>2027</v>
      </c>
      <c r="J13" s="32">
        <f>J7</f>
        <v>2028</v>
      </c>
      <c r="K13" s="32">
        <f>K7</f>
        <v>2029</v>
      </c>
      <c r="L13" s="32">
        <f>L7</f>
        <v>2030</v>
      </c>
      <c r="M13" s="32">
        <f>M7</f>
        <v>2031</v>
      </c>
      <c r="N13" s="32">
        <f>N7</f>
        <v>2032</v>
      </c>
      <c r="O13" s="32">
        <f>O7</f>
        <v>2033</v>
      </c>
      <c r="P13" s="32">
        <f>P7</f>
        <v>2034</v>
      </c>
      <c r="Q13" s="33">
        <f>Q7</f>
        <v>2035</v>
      </c>
    </row>
    <row r="14" spans="2:17" ht="21" customHeight="1" x14ac:dyDescent="0.25">
      <c r="B14" s="31" t="s">
        <v>36</v>
      </c>
      <c r="C14" s="35">
        <f>-E3</f>
        <v>-522280000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86">
        <v>0</v>
      </c>
    </row>
    <row r="15" spans="2:17" ht="21" customHeight="1" x14ac:dyDescent="0.25">
      <c r="B15" s="31" t="s">
        <v>7</v>
      </c>
      <c r="C15" s="35"/>
      <c r="D15" s="35">
        <f>$C14*$E4</f>
        <v>-313368000</v>
      </c>
      <c r="E15" s="35">
        <f>-D16*$E4</f>
        <v>-125347200</v>
      </c>
      <c r="F15" s="35">
        <f>-E16*$E4</f>
        <v>-50138880</v>
      </c>
      <c r="G15" s="35">
        <f>-F16*$E4</f>
        <v>-20055552</v>
      </c>
      <c r="H15" s="35">
        <f>-G16*$E4</f>
        <v>-8022220.7999999998</v>
      </c>
      <c r="I15" s="35">
        <f>-H16*$E4</f>
        <v>-3208888.3199999998</v>
      </c>
      <c r="J15" s="35">
        <f>-I16*$E4</f>
        <v>-1283555.3280000002</v>
      </c>
      <c r="K15" s="35">
        <f>-J16*$E4</f>
        <v>-513422.13120000006</v>
      </c>
      <c r="L15" s="35">
        <f>-K16*$E4</f>
        <v>-205368.85248000003</v>
      </c>
      <c r="M15" s="35">
        <f>-L16*$E4</f>
        <v>-82147.540992000024</v>
      </c>
      <c r="N15" s="35">
        <f>-M16*$E4</f>
        <v>-32859.016396800012</v>
      </c>
      <c r="O15" s="35">
        <f>-N16*$E4</f>
        <v>-13143.606558720008</v>
      </c>
      <c r="P15" s="35">
        <f>-O16*$E4</f>
        <v>-5257.4426234880029</v>
      </c>
      <c r="Q15" s="86">
        <f>-P16*$E4</f>
        <v>-2102.977049395201</v>
      </c>
    </row>
    <row r="16" spans="2:17" ht="21" customHeight="1" thickBot="1" x14ac:dyDescent="0.3">
      <c r="B16" s="37" t="s">
        <v>37</v>
      </c>
      <c r="C16" s="38">
        <f>-C14</f>
        <v>522280000</v>
      </c>
      <c r="D16" s="38">
        <f>D15-C14</f>
        <v>208912000</v>
      </c>
      <c r="E16" s="38">
        <f>D16+E15</f>
        <v>83564800</v>
      </c>
      <c r="F16" s="38">
        <f>E16+F15</f>
        <v>33425920</v>
      </c>
      <c r="G16" s="38">
        <f>F16+G15</f>
        <v>13370368</v>
      </c>
      <c r="H16" s="38">
        <f>G16+H15</f>
        <v>5348147.2000000002</v>
      </c>
      <c r="I16" s="38">
        <f>H16+I15</f>
        <v>2139258.8800000004</v>
      </c>
      <c r="J16" s="38">
        <f>I16+J15</f>
        <v>855703.55200000014</v>
      </c>
      <c r="K16" s="38">
        <f>J16+K15</f>
        <v>342281.42080000008</v>
      </c>
      <c r="L16" s="38">
        <f>K16+L15</f>
        <v>136912.56832000005</v>
      </c>
      <c r="M16" s="38">
        <f>L16+M15</f>
        <v>54765.027328000026</v>
      </c>
      <c r="N16" s="38">
        <f>M16+N15</f>
        <v>21906.010931200013</v>
      </c>
      <c r="O16" s="38">
        <f>N16+O15</f>
        <v>8762.4043724800049</v>
      </c>
      <c r="P16" s="38">
        <f>O16+P15</f>
        <v>3504.961748992002</v>
      </c>
      <c r="Q16" s="85">
        <f>P16+Q15</f>
        <v>1401.984699596801</v>
      </c>
    </row>
    <row r="17" ht="4.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AC17"/>
  <sheetViews>
    <sheetView showGridLines="0" tabSelected="1" zoomScale="85" zoomScaleNormal="85" workbookViewId="0">
      <selection activeCell="A22" sqref="A22"/>
    </sheetView>
  </sheetViews>
  <sheetFormatPr defaultColWidth="8.7109375" defaultRowHeight="15" x14ac:dyDescent="0.25"/>
  <cols>
    <col min="1" max="1" width="1" customWidth="1"/>
    <col min="2" max="2" width="23.42578125" customWidth="1"/>
    <col min="3" max="3" width="15" customWidth="1"/>
    <col min="4" max="4" width="14.140625" customWidth="1"/>
    <col min="5" max="5" width="15.140625" customWidth="1"/>
    <col min="6" max="6" width="14.7109375" customWidth="1"/>
    <col min="7" max="7" width="14" customWidth="1"/>
    <col min="8" max="8" width="15" customWidth="1"/>
    <col min="9" max="9" width="14.140625" customWidth="1"/>
    <col min="10" max="11" width="15.28515625" bestFit="1" customWidth="1"/>
    <col min="12" max="12" width="15.140625" customWidth="1"/>
    <col min="13" max="13" width="15.28515625" bestFit="1" customWidth="1"/>
    <col min="14" max="14" width="14.7109375" customWidth="1"/>
    <col min="15" max="15" width="15.28515625" customWidth="1"/>
    <col min="16" max="17" width="15.28515625" bestFit="1" customWidth="1"/>
  </cols>
  <sheetData>
    <row r="2" spans="2:29" ht="4.5" customHeight="1" thickBot="1" x14ac:dyDescent="0.3"/>
    <row r="3" spans="2:29" ht="21" customHeight="1" x14ac:dyDescent="0.25">
      <c r="B3" s="48" t="s">
        <v>32</v>
      </c>
      <c r="C3" s="39" t="s">
        <v>35</v>
      </c>
      <c r="D3" s="39"/>
      <c r="E3" s="40">
        <v>342000000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1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2:29" ht="21" customHeight="1" x14ac:dyDescent="0.25">
      <c r="B4" s="44"/>
      <c r="C4" s="28" t="s">
        <v>33</v>
      </c>
      <c r="D4" s="28"/>
      <c r="E4" s="42">
        <v>0.6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43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2:29" ht="18" customHeight="1" x14ac:dyDescent="0.25">
      <c r="B5" s="44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43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2:29" ht="21" customHeight="1" x14ac:dyDescent="0.25">
      <c r="B6" s="45" t="s">
        <v>34</v>
      </c>
      <c r="C6" s="2"/>
      <c r="D6" s="2"/>
      <c r="E6" s="2"/>
      <c r="F6" s="2"/>
      <c r="G6" s="2"/>
      <c r="H6" s="2"/>
      <c r="I6" s="28"/>
      <c r="J6" s="28"/>
      <c r="K6" s="28"/>
      <c r="L6" s="28"/>
      <c r="M6" s="28"/>
      <c r="N6" s="28"/>
      <c r="O6" s="28"/>
      <c r="P6" s="28"/>
      <c r="Q6" s="43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2:29" ht="21" customHeight="1" x14ac:dyDescent="0.25">
      <c r="B7" s="31"/>
      <c r="C7" s="32">
        <v>2021</v>
      </c>
      <c r="D7" s="32">
        <v>2022</v>
      </c>
      <c r="E7" s="32">
        <v>2023</v>
      </c>
      <c r="F7" s="32">
        <v>2024</v>
      </c>
      <c r="G7" s="32">
        <v>2025</v>
      </c>
      <c r="H7" s="32">
        <v>2026</v>
      </c>
      <c r="I7" s="32">
        <v>2027</v>
      </c>
      <c r="J7" s="32">
        <v>2028</v>
      </c>
      <c r="K7" s="32">
        <v>2029</v>
      </c>
      <c r="L7" s="32">
        <v>2030</v>
      </c>
      <c r="M7" s="32">
        <v>2031</v>
      </c>
      <c r="N7" s="32">
        <v>2032</v>
      </c>
      <c r="O7" s="32">
        <v>2033</v>
      </c>
      <c r="P7" s="32">
        <v>2034</v>
      </c>
      <c r="Q7" s="33">
        <v>2035</v>
      </c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2:29" ht="21" customHeight="1" x14ac:dyDescent="0.25">
      <c r="B8" s="31" t="s">
        <v>36</v>
      </c>
      <c r="C8" s="35">
        <f>-E3</f>
        <v>-342000000</v>
      </c>
      <c r="D8" s="35"/>
      <c r="E8" s="35"/>
      <c r="F8" s="35"/>
      <c r="G8" s="35"/>
      <c r="H8" s="35"/>
      <c r="I8" s="80"/>
      <c r="J8" s="32"/>
      <c r="K8" s="32"/>
      <c r="L8" s="32"/>
      <c r="M8" s="32"/>
      <c r="N8" s="32"/>
      <c r="O8" s="32"/>
      <c r="P8" s="32"/>
      <c r="Q8" s="33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2:29" ht="21" customHeight="1" x14ac:dyDescent="0.25">
      <c r="B9" s="31" t="s">
        <v>7</v>
      </c>
      <c r="C9" s="35"/>
      <c r="D9" s="35">
        <f>$C8*$E4</f>
        <v>-205200000</v>
      </c>
      <c r="E9" s="35">
        <f t="shared" ref="E9:Q9" si="0">$C8*$E4</f>
        <v>-205200000</v>
      </c>
      <c r="F9" s="35">
        <f t="shared" si="0"/>
        <v>-205200000</v>
      </c>
      <c r="G9" s="35">
        <f t="shared" si="0"/>
        <v>-205200000</v>
      </c>
      <c r="H9" s="35">
        <f t="shared" si="0"/>
        <v>-205200000</v>
      </c>
      <c r="I9" s="35">
        <f t="shared" si="0"/>
        <v>-205200000</v>
      </c>
      <c r="J9" s="35">
        <f t="shared" si="0"/>
        <v>-205200000</v>
      </c>
      <c r="K9" s="35">
        <f t="shared" si="0"/>
        <v>-205200000</v>
      </c>
      <c r="L9" s="35">
        <f t="shared" si="0"/>
        <v>-205200000</v>
      </c>
      <c r="M9" s="35">
        <f t="shared" si="0"/>
        <v>-205200000</v>
      </c>
      <c r="N9" s="35">
        <f t="shared" si="0"/>
        <v>-205200000</v>
      </c>
      <c r="O9" s="35">
        <f t="shared" si="0"/>
        <v>-205200000</v>
      </c>
      <c r="P9" s="35">
        <f t="shared" si="0"/>
        <v>-205200000</v>
      </c>
      <c r="Q9" s="86">
        <f t="shared" si="0"/>
        <v>-205200000</v>
      </c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2:29" ht="21" customHeight="1" x14ac:dyDescent="0.25">
      <c r="B10" s="31" t="s">
        <v>37</v>
      </c>
      <c r="C10" s="36">
        <f>-C8</f>
        <v>342000000</v>
      </c>
      <c r="D10" s="36">
        <f>D9-C8</f>
        <v>136800000</v>
      </c>
      <c r="E10" s="36">
        <f>D10+E9</f>
        <v>-68400000</v>
      </c>
      <c r="F10" s="36">
        <f t="shared" ref="F10:J10" si="1">E10+F9</f>
        <v>-273600000</v>
      </c>
      <c r="G10" s="36">
        <f t="shared" si="1"/>
        <v>-478800000</v>
      </c>
      <c r="H10" s="36">
        <f t="shared" ref="H10" si="2">G10+H9</f>
        <v>-684000000</v>
      </c>
      <c r="I10" s="36">
        <f t="shared" ref="I10" si="3">H10+I9</f>
        <v>-889200000</v>
      </c>
      <c r="J10" s="36">
        <f t="shared" ref="J10" si="4">I10+J9</f>
        <v>-1094400000</v>
      </c>
      <c r="K10" s="36">
        <f t="shared" ref="K10" si="5">J10+K9</f>
        <v>-1299600000</v>
      </c>
      <c r="L10" s="36">
        <f t="shared" ref="L10" si="6">K10+L9</f>
        <v>-1504800000</v>
      </c>
      <c r="M10" s="36">
        <f t="shared" ref="M10" si="7">L10+M9</f>
        <v>-1710000000</v>
      </c>
      <c r="N10" s="36">
        <f t="shared" ref="N10" si="8">M10+N9</f>
        <v>-1915200000</v>
      </c>
      <c r="O10" s="36">
        <f t="shared" ref="O10" si="9">N10+O9</f>
        <v>-2120400000</v>
      </c>
      <c r="P10" s="36">
        <f t="shared" ref="P10" si="10">O10+P9</f>
        <v>-2325600000</v>
      </c>
      <c r="Q10" s="87">
        <f t="shared" ref="Q10" si="11">P10+Q9</f>
        <v>-2530800000</v>
      </c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2:29" ht="8.25" customHeight="1" x14ac:dyDescent="0.25">
      <c r="B11" s="46"/>
      <c r="C11" s="47"/>
      <c r="D11" s="47"/>
      <c r="E11" s="47"/>
      <c r="F11" s="47"/>
      <c r="G11" s="47"/>
      <c r="H11" s="47"/>
      <c r="I11" s="28"/>
      <c r="J11" s="28"/>
      <c r="K11" s="28"/>
      <c r="L11" s="28"/>
      <c r="M11" s="28"/>
      <c r="N11" s="28"/>
      <c r="O11" s="28"/>
      <c r="P11" s="28"/>
      <c r="Q11" s="43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2:29" ht="21" customHeight="1" x14ac:dyDescent="0.25">
      <c r="B12" s="45" t="s">
        <v>38</v>
      </c>
      <c r="C12" s="2"/>
      <c r="D12" s="2"/>
      <c r="E12" s="2"/>
      <c r="F12" s="2"/>
      <c r="G12" s="2"/>
      <c r="H12" s="2"/>
      <c r="I12" s="28"/>
      <c r="J12" s="28"/>
      <c r="K12" s="28"/>
      <c r="L12" s="28"/>
      <c r="M12" s="28"/>
      <c r="N12" s="28"/>
      <c r="O12" s="28"/>
      <c r="P12" s="28"/>
      <c r="Q12" s="43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2:29" ht="21" customHeight="1" x14ac:dyDescent="0.25">
      <c r="B13" s="34"/>
      <c r="C13" s="32">
        <v>2021</v>
      </c>
      <c r="D13" s="32">
        <v>2022</v>
      </c>
      <c r="E13" s="32">
        <v>2023</v>
      </c>
      <c r="F13" s="32">
        <v>2024</v>
      </c>
      <c r="G13" s="32">
        <v>2025</v>
      </c>
      <c r="H13" s="32">
        <v>2026</v>
      </c>
      <c r="I13" s="32">
        <v>2027</v>
      </c>
      <c r="J13" s="32">
        <v>2028</v>
      </c>
      <c r="K13" s="32">
        <v>2029</v>
      </c>
      <c r="L13" s="32">
        <v>2030</v>
      </c>
      <c r="M13" s="32">
        <v>2031</v>
      </c>
      <c r="N13" s="32">
        <v>2032</v>
      </c>
      <c r="O13" s="32">
        <v>2033</v>
      </c>
      <c r="P13" s="32">
        <v>2034</v>
      </c>
      <c r="Q13" s="33">
        <v>2035</v>
      </c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2:29" ht="21" customHeight="1" x14ac:dyDescent="0.25">
      <c r="B14" s="31" t="s">
        <v>36</v>
      </c>
      <c r="C14" s="35">
        <f>-E3</f>
        <v>-342000000</v>
      </c>
      <c r="D14" s="35"/>
      <c r="E14" s="35"/>
      <c r="F14" s="35"/>
      <c r="G14" s="35"/>
      <c r="H14" s="35"/>
      <c r="I14" s="35"/>
      <c r="J14" s="32"/>
      <c r="K14" s="32"/>
      <c r="L14" s="32"/>
      <c r="M14" s="32"/>
      <c r="N14" s="32"/>
      <c r="O14" s="32"/>
      <c r="P14" s="32"/>
      <c r="Q14" s="33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2:29" ht="21" customHeight="1" x14ac:dyDescent="0.25">
      <c r="B15" s="31" t="s">
        <v>7</v>
      </c>
      <c r="C15" s="35"/>
      <c r="D15" s="35">
        <f>$C14*$E4</f>
        <v>-205200000</v>
      </c>
      <c r="E15" s="35">
        <f>-D16*$E4</f>
        <v>-82080000</v>
      </c>
      <c r="F15" s="35">
        <f>-E16*$E4</f>
        <v>-32832000</v>
      </c>
      <c r="G15" s="35">
        <f t="shared" ref="G15:Q15" si="12">-F16*$E4</f>
        <v>-13132800</v>
      </c>
      <c r="H15" s="35">
        <f t="shared" si="12"/>
        <v>-5253120</v>
      </c>
      <c r="I15" s="35">
        <f t="shared" si="12"/>
        <v>-2101248</v>
      </c>
      <c r="J15" s="35">
        <f t="shared" si="12"/>
        <v>-840499.19999999995</v>
      </c>
      <c r="K15" s="35">
        <f t="shared" si="12"/>
        <v>-336199.67999999999</v>
      </c>
      <c r="L15" s="35">
        <f t="shared" si="12"/>
        <v>-134479.87200000003</v>
      </c>
      <c r="M15" s="35">
        <f t="shared" si="12"/>
        <v>-53791.948800000013</v>
      </c>
      <c r="N15" s="35">
        <f t="shared" si="12"/>
        <v>-21516.779520000004</v>
      </c>
      <c r="O15" s="35">
        <f t="shared" si="12"/>
        <v>-8606.7118080000018</v>
      </c>
      <c r="P15" s="35">
        <f t="shared" si="12"/>
        <v>-3442.6847232000018</v>
      </c>
      <c r="Q15" s="86">
        <f t="shared" si="12"/>
        <v>-1377.0738892800007</v>
      </c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2:29" ht="21" customHeight="1" thickBot="1" x14ac:dyDescent="0.3">
      <c r="B16" s="37" t="s">
        <v>37</v>
      </c>
      <c r="C16" s="38">
        <f>-C14</f>
        <v>342000000</v>
      </c>
      <c r="D16" s="38">
        <f>D15-C14</f>
        <v>136800000</v>
      </c>
      <c r="E16" s="38">
        <f>D16+E15</f>
        <v>54720000</v>
      </c>
      <c r="F16" s="38">
        <f>E16+F15</f>
        <v>21888000</v>
      </c>
      <c r="G16" s="38">
        <f>F16+G15</f>
        <v>8755200</v>
      </c>
      <c r="H16" s="38">
        <f>G16+H15</f>
        <v>3502080</v>
      </c>
      <c r="I16" s="38">
        <f>H16+I15</f>
        <v>1400832</v>
      </c>
      <c r="J16" s="38">
        <f t="shared" ref="J16:Q16" si="13">I16+J15</f>
        <v>560332.80000000005</v>
      </c>
      <c r="K16" s="38">
        <f t="shared" si="13"/>
        <v>224133.12000000005</v>
      </c>
      <c r="L16" s="38">
        <f t="shared" si="13"/>
        <v>89653.248000000021</v>
      </c>
      <c r="M16" s="38">
        <f t="shared" si="13"/>
        <v>35861.299200000009</v>
      </c>
      <c r="N16" s="38">
        <f t="shared" si="13"/>
        <v>14344.519680000005</v>
      </c>
      <c r="O16" s="38">
        <f t="shared" si="13"/>
        <v>5737.807872000003</v>
      </c>
      <c r="P16" s="38">
        <f t="shared" si="13"/>
        <v>2295.1231488000012</v>
      </c>
      <c r="Q16" s="85">
        <f t="shared" si="13"/>
        <v>918.04925952000053</v>
      </c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ht="4.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8A16-E85B-4039-9B80-79607704A8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61"/>
  <sheetViews>
    <sheetView workbookViewId="0">
      <selection activeCell="I27" sqref="I27"/>
    </sheetView>
  </sheetViews>
  <sheetFormatPr defaultColWidth="8.7109375" defaultRowHeight="15" x14ac:dyDescent="0.25"/>
  <cols>
    <col min="2" max="2" width="14.5703125" bestFit="1" customWidth="1"/>
    <col min="3" max="3" width="18.28515625" bestFit="1" customWidth="1"/>
    <col min="4" max="4" width="15.28515625" bestFit="1" customWidth="1"/>
  </cols>
  <sheetData>
    <row r="1" spans="1:4" x14ac:dyDescent="0.25">
      <c r="A1" t="s">
        <v>56</v>
      </c>
      <c r="B1" t="s">
        <v>2</v>
      </c>
      <c r="C1" t="s">
        <v>52</v>
      </c>
      <c r="D1" t="s">
        <v>58</v>
      </c>
    </row>
    <row r="2" spans="1:4" x14ac:dyDescent="0.25">
      <c r="A2">
        <v>2019</v>
      </c>
      <c r="B2">
        <v>0</v>
      </c>
      <c r="C2" s="82">
        <v>-414.5</v>
      </c>
      <c r="D2" s="82">
        <v>-414.5</v>
      </c>
    </row>
    <row r="3" spans="1:4" x14ac:dyDescent="0.25">
      <c r="A3">
        <v>2020</v>
      </c>
      <c r="B3">
        <v>0</v>
      </c>
      <c r="C3" s="82">
        <v>-866.37125000000003</v>
      </c>
      <c r="D3" s="82">
        <v>-451.87124999999997</v>
      </c>
    </row>
    <row r="4" spans="1:4" x14ac:dyDescent="0.25">
      <c r="A4">
        <v>2021</v>
      </c>
      <c r="B4" s="82">
        <v>135.30666537297401</v>
      </c>
      <c r="C4" s="82">
        <v>-853.51778685797296</v>
      </c>
      <c r="D4" s="82">
        <v>12.853463142026699</v>
      </c>
    </row>
    <row r="5" spans="1:4" x14ac:dyDescent="0.25">
      <c r="A5">
        <v>2022</v>
      </c>
      <c r="B5" s="82">
        <v>208.03399801094699</v>
      </c>
      <c r="C5" s="82">
        <v>-812.97159821460696</v>
      </c>
      <c r="D5" s="82">
        <v>40.546188643366001</v>
      </c>
    </row>
    <row r="6" spans="1:4" x14ac:dyDescent="0.25">
      <c r="A6">
        <v>2023</v>
      </c>
      <c r="B6" s="82">
        <v>284.31313061496098</v>
      </c>
      <c r="C6" s="82">
        <v>-745.62822116185805</v>
      </c>
      <c r="D6" s="82">
        <v>67.343377052749105</v>
      </c>
    </row>
    <row r="7" spans="1:4" x14ac:dyDescent="0.25">
      <c r="A7">
        <v>2024</v>
      </c>
      <c r="B7" s="82">
        <v>364.27619860041801</v>
      </c>
      <c r="C7" s="82">
        <v>-668.14255896553402</v>
      </c>
      <c r="D7" s="82">
        <v>77.485662196324398</v>
      </c>
    </row>
    <row r="8" spans="1:4" x14ac:dyDescent="0.25">
      <c r="A8">
        <v>2025</v>
      </c>
      <c r="B8" s="82">
        <v>373.383103565429</v>
      </c>
      <c r="C8" s="82">
        <v>-589.08011748513502</v>
      </c>
      <c r="D8" s="82">
        <v>79.062441480399201</v>
      </c>
    </row>
    <row r="9" spans="1:4" x14ac:dyDescent="0.25">
      <c r="A9">
        <v>2026</v>
      </c>
      <c r="B9" s="82">
        <v>382.71768115456501</v>
      </c>
      <c r="C9" s="82">
        <v>-508.40147723855898</v>
      </c>
      <c r="D9" s="82">
        <v>80.678640246575796</v>
      </c>
    </row>
    <row r="10" spans="1:4" x14ac:dyDescent="0.25">
      <c r="A10">
        <v>2027</v>
      </c>
      <c r="B10" s="82">
        <v>392.28562318342898</v>
      </c>
      <c r="C10" s="82">
        <v>-426.06623325665203</v>
      </c>
      <c r="D10" s="82">
        <v>82.335243981906899</v>
      </c>
    </row>
    <row r="11" spans="1:4" x14ac:dyDescent="0.25">
      <c r="A11">
        <v>2028</v>
      </c>
      <c r="B11" s="82">
        <v>402.09276376301398</v>
      </c>
      <c r="C11" s="82">
        <v>-342.03297044603102</v>
      </c>
      <c r="D11" s="82">
        <v>84.033262810621196</v>
      </c>
    </row>
    <row r="12" spans="1:4" x14ac:dyDescent="0.25">
      <c r="A12">
        <v>2029</v>
      </c>
      <c r="B12" s="82">
        <v>412.14508285709002</v>
      </c>
      <c r="C12" s="82">
        <v>-256.25923833597699</v>
      </c>
      <c r="D12" s="82">
        <v>85.773732110053402</v>
      </c>
    </row>
    <row r="13" spans="1:4" x14ac:dyDescent="0.25">
      <c r="A13">
        <v>2030</v>
      </c>
      <c r="B13" s="82">
        <v>422.44870992851702</v>
      </c>
      <c r="C13" s="82">
        <v>-168.701525194006</v>
      </c>
      <c r="D13" s="82">
        <v>87.557713141971405</v>
      </c>
    </row>
    <row r="14" spans="1:4" x14ac:dyDescent="0.25">
      <c r="A14">
        <v>2031</v>
      </c>
      <c r="B14" s="82">
        <v>433.00992767673</v>
      </c>
      <c r="C14" s="82">
        <v>-79.315231494318596</v>
      </c>
      <c r="D14" s="82">
        <v>89.3862936996873</v>
      </c>
    </row>
    <row r="15" spans="1:4" x14ac:dyDescent="0.25">
      <c r="A15">
        <v>2032</v>
      </c>
      <c r="B15" s="82">
        <v>443.83517586864798</v>
      </c>
      <c r="C15" s="82">
        <v>11.945357277027499</v>
      </c>
      <c r="D15" s="82">
        <v>91.260588771346207</v>
      </c>
    </row>
    <row r="16" spans="1:4" x14ac:dyDescent="0.25">
      <c r="A16">
        <v>2033</v>
      </c>
      <c r="B16" s="82">
        <v>454.93105526536402</v>
      </c>
      <c r="C16" s="82">
        <v>105.127098496824</v>
      </c>
      <c r="D16" s="82">
        <v>93.181741219796507</v>
      </c>
    </row>
    <row r="17" spans="1:4" x14ac:dyDescent="0.25">
      <c r="A17">
        <v>2034</v>
      </c>
      <c r="B17" s="82">
        <v>466.30433164699798</v>
      </c>
      <c r="C17" s="82">
        <v>200.27802097628199</v>
      </c>
      <c r="D17" s="82">
        <v>95.150922479458103</v>
      </c>
    </row>
    <row r="18" spans="1:4" x14ac:dyDescent="0.25">
      <c r="A18">
        <v>2035</v>
      </c>
      <c r="B18" s="82">
        <v>477.96193993817297</v>
      </c>
      <c r="C18" s="82">
        <v>297.44735424689298</v>
      </c>
      <c r="D18" s="82">
        <v>97.169333270611205</v>
      </c>
    </row>
    <row r="19" spans="1:4" x14ac:dyDescent="0.25">
      <c r="A19">
        <v>2036</v>
      </c>
      <c r="B19" s="82">
        <v>489.91098843662701</v>
      </c>
      <c r="C19" s="82">
        <v>382.27106774510298</v>
      </c>
      <c r="D19" s="82">
        <v>84.823713498209798</v>
      </c>
    </row>
    <row r="20" spans="1:4" x14ac:dyDescent="0.25">
      <c r="A20">
        <v>2037</v>
      </c>
      <c r="B20" s="82">
        <v>502.15876314754303</v>
      </c>
      <c r="C20" s="82">
        <v>469.21537408076802</v>
      </c>
      <c r="D20" s="82">
        <v>86.944306335665004</v>
      </c>
    </row>
    <row r="21" spans="1:4" x14ac:dyDescent="0.25">
      <c r="A21">
        <v>2038</v>
      </c>
      <c r="B21" s="82">
        <v>514.71273222623097</v>
      </c>
      <c r="C21" s="82">
        <v>558.33328807482496</v>
      </c>
      <c r="D21" s="82">
        <v>89.117913994056593</v>
      </c>
    </row>
    <row r="22" spans="1:4" x14ac:dyDescent="0.25">
      <c r="A22">
        <v>2039</v>
      </c>
      <c r="B22" s="82">
        <v>527.58055053188696</v>
      </c>
      <c r="C22" s="82">
        <v>649.67914991873295</v>
      </c>
      <c r="D22" s="82">
        <v>91.345861843907997</v>
      </c>
    </row>
    <row r="23" spans="1:4" x14ac:dyDescent="0.25">
      <c r="A23">
        <v>2040</v>
      </c>
      <c r="B23" s="82">
        <v>540.77006429518406</v>
      </c>
      <c r="C23" s="82">
        <v>743.30865830873802</v>
      </c>
      <c r="D23" s="82">
        <v>93.629508390005697</v>
      </c>
    </row>
    <row r="24" spans="1:4" x14ac:dyDescent="0.25">
      <c r="A24">
        <v>2041</v>
      </c>
      <c r="B24" s="82">
        <v>554.289315902564</v>
      </c>
      <c r="C24" s="82">
        <v>839.27890440849399</v>
      </c>
      <c r="D24" s="82">
        <v>95.970246099755897</v>
      </c>
    </row>
    <row r="25" spans="1:4" x14ac:dyDescent="0.25">
      <c r="A25">
        <v>2042</v>
      </c>
      <c r="B25" s="82">
        <v>568.14654880012802</v>
      </c>
      <c r="C25" s="82">
        <v>937.64840666074394</v>
      </c>
      <c r="D25" s="82">
        <v>98.369502252249703</v>
      </c>
    </row>
    <row r="26" spans="1:4" x14ac:dyDescent="0.25">
      <c r="A26">
        <v>2043</v>
      </c>
      <c r="B26" s="82">
        <v>582.35021252013098</v>
      </c>
      <c r="C26" s="82">
        <v>1038.4771464692999</v>
      </c>
      <c r="D26" s="82">
        <v>100.82873980855599</v>
      </c>
    </row>
    <row r="27" spans="1:4" x14ac:dyDescent="0.25">
      <c r="A27">
        <v>2044</v>
      </c>
      <c r="B27" s="82">
        <v>596.90896783313406</v>
      </c>
      <c r="C27" s="82">
        <v>1141.8266047730699</v>
      </c>
      <c r="D27" s="82">
        <v>103.34945830377001</v>
      </c>
    </row>
    <row r="28" spans="1:4" x14ac:dyDescent="0.25">
      <c r="A28">
        <v>2045</v>
      </c>
      <c r="B28" s="82">
        <v>611.83169202896295</v>
      </c>
      <c r="C28" s="82">
        <v>1247.7597995344299</v>
      </c>
      <c r="D28" s="82">
        <v>105.93319476136401</v>
      </c>
    </row>
    <row r="35" spans="3:3" x14ac:dyDescent="0.25">
      <c r="C35" s="82"/>
    </row>
    <row r="36" spans="3:3" x14ac:dyDescent="0.25">
      <c r="C36" s="82"/>
    </row>
    <row r="37" spans="3:3" x14ac:dyDescent="0.25">
      <c r="C37" s="82"/>
    </row>
    <row r="38" spans="3:3" x14ac:dyDescent="0.25">
      <c r="C38" s="82"/>
    </row>
    <row r="39" spans="3:3" x14ac:dyDescent="0.25">
      <c r="C39" s="82"/>
    </row>
    <row r="40" spans="3:3" x14ac:dyDescent="0.25">
      <c r="C40" s="82"/>
    </row>
    <row r="41" spans="3:3" x14ac:dyDescent="0.25">
      <c r="C41" s="82"/>
    </row>
    <row r="42" spans="3:3" x14ac:dyDescent="0.25">
      <c r="C42" s="82"/>
    </row>
    <row r="43" spans="3:3" x14ac:dyDescent="0.25">
      <c r="C43" s="82"/>
    </row>
    <row r="44" spans="3:3" x14ac:dyDescent="0.25">
      <c r="C44" s="82"/>
    </row>
    <row r="45" spans="3:3" x14ac:dyDescent="0.25">
      <c r="C45" s="82"/>
    </row>
    <row r="46" spans="3:3" x14ac:dyDescent="0.25">
      <c r="C46" s="82"/>
    </row>
    <row r="47" spans="3:3" x14ac:dyDescent="0.25">
      <c r="C47" s="82"/>
    </row>
    <row r="48" spans="3:3" x14ac:dyDescent="0.25">
      <c r="C48" s="82"/>
    </row>
    <row r="49" spans="3:3" x14ac:dyDescent="0.25">
      <c r="C49" s="82"/>
    </row>
    <row r="50" spans="3:3" x14ac:dyDescent="0.25">
      <c r="C50" s="82"/>
    </row>
    <row r="51" spans="3:3" x14ac:dyDescent="0.25">
      <c r="C51" s="82"/>
    </row>
    <row r="52" spans="3:3" x14ac:dyDescent="0.25">
      <c r="C52" s="82"/>
    </row>
    <row r="53" spans="3:3" x14ac:dyDescent="0.25">
      <c r="C53" s="82"/>
    </row>
    <row r="54" spans="3:3" x14ac:dyDescent="0.25">
      <c r="C54" s="82"/>
    </row>
    <row r="55" spans="3:3" x14ac:dyDescent="0.25">
      <c r="C55" s="82"/>
    </row>
    <row r="56" spans="3:3" x14ac:dyDescent="0.25">
      <c r="C56" s="82"/>
    </row>
    <row r="57" spans="3:3" x14ac:dyDescent="0.25">
      <c r="C57" s="82"/>
    </row>
    <row r="58" spans="3:3" x14ac:dyDescent="0.25">
      <c r="C58" s="82"/>
    </row>
    <row r="59" spans="3:3" x14ac:dyDescent="0.25">
      <c r="C59" s="82"/>
    </row>
    <row r="60" spans="3:3" x14ac:dyDescent="0.25">
      <c r="C60" s="82"/>
    </row>
    <row r="61" spans="3:3" x14ac:dyDescent="0.25">
      <c r="C61" s="82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 SEGUNDO DCF</vt:lpstr>
      <vt:lpstr>AMBERLEY DCF</vt:lpstr>
      <vt:lpstr>AMBERLEY DEPRECIATION</vt:lpstr>
      <vt:lpstr>EL SEGUNDO DEPRECIATION</vt:lpstr>
      <vt:lpstr>Sheet1</vt:lpstr>
      <vt:lpstr>Sheet3</vt:lpstr>
    </vt:vector>
  </TitlesOfParts>
  <Company>IARG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gary.costello</dc:creator>
  <cp:lastModifiedBy>Janesky</cp:lastModifiedBy>
  <cp:lastPrinted>2013-08-27T07:11:46Z</cp:lastPrinted>
  <dcterms:created xsi:type="dcterms:W3CDTF">2013-08-27T00:28:34Z</dcterms:created>
  <dcterms:modified xsi:type="dcterms:W3CDTF">2018-03-25T13:27:00Z</dcterms:modified>
</cp:coreProperties>
</file>