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voltmetro" sheetId="1" state="visible" r:id="rId2"/>
    <sheet name="Ramperometro" sheetId="2" state="visible" r:id="rId3"/>
    <sheet name="misura in serie e parallelo" sheetId="3" state="visible" r:id="rId4"/>
    <sheet name="Parte seconda" sheetId="4" state="visible" r:id="rId5"/>
    <sheet name="Parte terz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<sst xmlns="http://schemas.openxmlformats.org/spreadsheetml/2006/main" count="169" uniqueCount="76">
  <si>
    <t xml:space="preserve">misura della resistenza 1</t>
  </si>
  <si>
    <t xml:space="preserve">misura della resistenza 2</t>
  </si>
  <si>
    <t xml:space="preserve">V (Volt)</t>
  </si>
  <si>
    <t xml:space="preserve">dv</t>
  </si>
  <si>
    <t xml:space="preserve">A (mA)</t>
  </si>
  <si>
    <t xml:space="preserve">dA</t>
  </si>
  <si>
    <t xml:space="preserve">R</t>
  </si>
  <si>
    <t xml:space="preserve">dR</t>
  </si>
  <si>
    <t xml:space="preserve">R(OHM)</t>
  </si>
  <si>
    <t xml:space="preserve">dr</t>
  </si>
  <si>
    <t xml:space="preserve">valori che danno risultati senza senso</t>
  </si>
  <si>
    <t xml:space="preserve">media</t>
  </si>
  <si>
    <t xml:space="preserve">sigma</t>
  </si>
  <si>
    <t xml:space="preserve">err.st.media</t>
  </si>
  <si>
    <t xml:space="preserve">misura della resistenza del Voltmetro</t>
  </si>
  <si>
    <t xml:space="preserve">//TRASCURIAMO RES GENERATOW</t>
  </si>
  <si>
    <t xml:space="preserve">V</t>
  </si>
  <si>
    <t xml:space="preserve">I</t>
  </si>
  <si>
    <t xml:space="preserve">Resistenza3</t>
  </si>
  <si>
    <t xml:space="preserve">misure con la resistenza 3</t>
  </si>
  <si>
    <t xml:space="preserve">Resistenza4</t>
  </si>
  <si>
    <t xml:space="preserve">Rmedia (Ohm)</t>
  </si>
  <si>
    <t xml:space="preserve">misure con resistenza4</t>
  </si>
  <si>
    <t xml:space="preserve">dV </t>
  </si>
  <si>
    <t xml:space="preserve">I (mA)</t>
  </si>
  <si>
    <t xml:space="preserve">dI (A)</t>
  </si>
  <si>
    <t xml:space="preserve">Req</t>
  </si>
  <si>
    <t xml:space="preserve">dReq</t>
  </si>
  <si>
    <t xml:space="preserve">RV</t>
  </si>
  <si>
    <t xml:space="preserve">dRV</t>
  </si>
  <si>
    <t xml:space="preserve">Media Rv</t>
  </si>
  <si>
    <t xml:space="preserve">VERIFICA LEGGE DI OHM</t>
  </si>
  <si>
    <t xml:space="preserve">meglio usare il circ I per misurare resistenze piccole (perché tutta la i passa nelle resistenze</t>
  </si>
  <si>
    <t xml:space="preserve">vicevera</t>
  </si>
  <si>
    <t xml:space="preserve">per verificare la legge di OHM uso sul circuito II res grandi</t>
  </si>
  <si>
    <t xml:space="preserve">res (ohm)</t>
  </si>
  <si>
    <t xml:space="preserve">5% errore</t>
  </si>
  <si>
    <t xml:space="preserve">I (A)</t>
  </si>
  <si>
    <t xml:space="preserve">//usando primo circuito</t>
  </si>
  <si>
    <t xml:space="preserve">entare della corrente erogata. Per questo R diventa sempre più piccola.</t>
  </si>
  <si>
    <t xml:space="preserve">la franci ha notato che all'aumentare della tensione erogata dal generatore diventa sempre più evidente il divario con quella misurata dal volmetro, questo è dovuto al fatto che la ddp causata dalla resistenza tra generatore e la resistenza R diventa sempre maggiore all'aum</t>
  </si>
  <si>
    <t xml:space="preserve">RA (Ohm)</t>
  </si>
  <si>
    <t xml:space="preserve">//provare a sistemare tenedno conto della RV</t>
  </si>
  <si>
    <t xml:space="preserve">I valori d RA ottenuti sono molto piccoli</t>
  </si>
  <si>
    <t xml:space="preserve">abbbassiamo il valore della resistenza</t>
  </si>
  <si>
    <t xml:space="preserve">abbassiamo resistenza</t>
  </si>
  <si>
    <t xml:space="preserve">sostituire con quella fatta prima</t>
  </si>
  <si>
    <t xml:space="preserve">//circuito 1 perché usiamo resistenze piccole</t>
  </si>
  <si>
    <t xml:space="preserve">res in parallelo</t>
  </si>
  <si>
    <t xml:space="preserve">R1</t>
  </si>
  <si>
    <t xml:space="preserve">R2</t>
  </si>
  <si>
    <t xml:space="preserve">Reqaspettata</t>
  </si>
  <si>
    <t xml:space="preserve">dV</t>
  </si>
  <si>
    <t xml:space="preserve">A</t>
  </si>
  <si>
    <t xml:space="preserve">s</t>
  </si>
  <si>
    <t xml:space="preserve">err std media</t>
  </si>
  <si>
    <t xml:space="preserve">circuito II: resistenze in serie</t>
  </si>
  <si>
    <t xml:space="preserve">Req aspettata</t>
  </si>
  <si>
    <t xml:space="preserve">Sono poco precisi perché essendo le resistenze molto alte la corrente che passa è bassa quindi più difficilmente misurabile e soggetta a errori. Aumentando la ddp ci si avvicina di più al valore corretto</t>
  </si>
  <si>
    <t xml:space="preserve">verifico che succede una volta</t>
  </si>
  <si>
    <t xml:space="preserve">affinchè valga la relazione sulle ddp devo prendere R1=R2</t>
  </si>
  <si>
    <t xml:space="preserve">Rload</t>
  </si>
  <si>
    <t xml:space="preserve">33*10^5</t>
  </si>
  <si>
    <t xml:space="preserve">Senza Rload</t>
  </si>
  <si>
    <t xml:space="preserve">con Rload</t>
  </si>
  <si>
    <t xml:space="preserve">Vin</t>
  </si>
  <si>
    <t xml:space="preserve">dVin</t>
  </si>
  <si>
    <t xml:space="preserve">Vout</t>
  </si>
  <si>
    <t xml:space="preserve">dVout</t>
  </si>
  <si>
    <t xml:space="preserve">Vin/Vout</t>
  </si>
  <si>
    <t xml:space="preserve">1,26*10^-3</t>
  </si>
  <si>
    <t xml:space="preserve">VIENE</t>
  </si>
  <si>
    <t xml:space="preserve">//circuito 1 con solo diodo</t>
  </si>
  <si>
    <t xml:space="preserve">dI</t>
  </si>
  <si>
    <t xml:space="preserve">k</t>
  </si>
  <si>
    <t xml:space="preserve">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</si>
</sst>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0"/>
    <numFmt numFmtId="167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Rvoltmetro!$B$43:$B$49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Rvoltmetro!$H$43:$H$52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axId val="74835882"/>
        <c:axId val="81480571"/>
      </c:scatterChart>
      <c:valAx>
        <c:axId val="748358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80571"/>
        <c:crosses val="autoZero"/>
        <c:crossBetween val="midCat"/>
      </c:valAx>
      <c:valAx>
        <c:axId val="814805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358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Rvoltmetro!$B$105:$B$124</c:f>
              <c:numCache>
                <c:formatCode>General</c:formatCode>
                <c:ptCount val="20"/>
                <c:pt idx="0">
                  <c:v>0.502</c:v>
                </c:pt>
                <c:pt idx="1">
                  <c:v>0.701</c:v>
                </c:pt>
                <c:pt idx="2">
                  <c:v>0.902</c:v>
                </c:pt>
                <c:pt idx="3">
                  <c:v>1.202</c:v>
                </c:pt>
                <c:pt idx="4">
                  <c:v>1.402</c:v>
                </c:pt>
                <c:pt idx="5">
                  <c:v>1.602</c:v>
                </c:pt>
                <c:pt idx="6">
                  <c:v>1.803</c:v>
                </c:pt>
                <c:pt idx="7">
                  <c:v>2.002</c:v>
                </c:pt>
                <c:pt idx="8">
                  <c:v>2.203</c:v>
                </c:pt>
                <c:pt idx="9">
                  <c:v>2.402</c:v>
                </c:pt>
                <c:pt idx="10">
                  <c:v>2.602</c:v>
                </c:pt>
                <c:pt idx="11">
                  <c:v>2.803</c:v>
                </c:pt>
                <c:pt idx="12">
                  <c:v>3.002</c:v>
                </c:pt>
                <c:pt idx="13">
                  <c:v>3.203</c:v>
                </c:pt>
                <c:pt idx="14">
                  <c:v>3.403</c:v>
                </c:pt>
                <c:pt idx="15">
                  <c:v>3.603</c:v>
                </c:pt>
                <c:pt idx="16">
                  <c:v>3.802</c:v>
                </c:pt>
                <c:pt idx="17">
                  <c:v>4.003</c:v>
                </c:pt>
                <c:pt idx="18">
                  <c:v>4.203</c:v>
                </c:pt>
                <c:pt idx="19">
                  <c:v>4.403</c:v>
                </c:pt>
              </c:numCache>
            </c:numRef>
          </c:xVal>
          <c:yVal>
            <c:numRef>
              <c:f>Rvoltmetro!$D$105:$D$124</c:f>
              <c:numCache>
                <c:formatCode>General</c:formatCode>
                <c:ptCount val="20"/>
                <c:pt idx="0">
                  <c:v>1.6E-007</c:v>
                </c:pt>
                <c:pt idx="1">
                  <c:v>2.3E-007</c:v>
                </c:pt>
                <c:pt idx="2">
                  <c:v>2.9E-007</c:v>
                </c:pt>
                <c:pt idx="3">
                  <c:v>3.8E-007</c:v>
                </c:pt>
                <c:pt idx="4">
                  <c:v>4.4E-007</c:v>
                </c:pt>
                <c:pt idx="5">
                  <c:v>5E-007</c:v>
                </c:pt>
                <c:pt idx="6">
                  <c:v>5.6E-007</c:v>
                </c:pt>
                <c:pt idx="7">
                  <c:v>6.3E-007</c:v>
                </c:pt>
                <c:pt idx="8">
                  <c:v>6.9E-007</c:v>
                </c:pt>
                <c:pt idx="9">
                  <c:v>7.5E-007</c:v>
                </c:pt>
                <c:pt idx="10">
                  <c:v>8.1E-007</c:v>
                </c:pt>
                <c:pt idx="11">
                  <c:v>8.7E-007</c:v>
                </c:pt>
                <c:pt idx="12">
                  <c:v>9.3E-007</c:v>
                </c:pt>
                <c:pt idx="13">
                  <c:v>9.9E-007</c:v>
                </c:pt>
                <c:pt idx="14">
                  <c:v>1.05E-006</c:v>
                </c:pt>
                <c:pt idx="15">
                  <c:v>1.11E-006</c:v>
                </c:pt>
                <c:pt idx="16">
                  <c:v>1.18E-006</c:v>
                </c:pt>
                <c:pt idx="17">
                  <c:v>1.24E-006</c:v>
                </c:pt>
                <c:pt idx="18">
                  <c:v>1.3E-006</c:v>
                </c:pt>
                <c:pt idx="19">
                  <c:v>1.36E-006</c:v>
                </c:pt>
              </c:numCache>
            </c:numRef>
          </c:yVal>
          <c:smooth val="0"/>
        </c:ser>
        <c:axId val="5452193"/>
        <c:axId val="93369681"/>
      </c:scatterChart>
      <c:valAx>
        <c:axId val="54521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69681"/>
        <c:crosses val="autoZero"/>
        <c:crossBetween val="midCat"/>
      </c:valAx>
      <c:valAx>
        <c:axId val="933696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521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'Parte terza'!$B$10:$B$72</c:f>
              <c:numCache>
                <c:formatCode>General</c:formatCode>
                <c:ptCount val="63"/>
                <c:pt idx="0">
                  <c:v>0.502</c:v>
                </c:pt>
                <c:pt idx="1">
                  <c:v>0.701</c:v>
                </c:pt>
                <c:pt idx="2">
                  <c:v>0.902</c:v>
                </c:pt>
                <c:pt idx="3">
                  <c:v>1.102</c:v>
                </c:pt>
                <c:pt idx="4">
                  <c:v>1.301</c:v>
                </c:pt>
                <c:pt idx="5">
                  <c:v>1.502</c:v>
                </c:pt>
                <c:pt idx="6">
                  <c:v>1.676</c:v>
                </c:pt>
                <c:pt idx="7">
                  <c:v>1.727</c:v>
                </c:pt>
                <c:pt idx="8">
                  <c:v>1.76</c:v>
                </c:pt>
                <c:pt idx="9">
                  <c:v>1.783</c:v>
                </c:pt>
                <c:pt idx="10">
                  <c:v>1.801</c:v>
                </c:pt>
                <c:pt idx="11">
                  <c:v>1.817</c:v>
                </c:pt>
                <c:pt idx="12">
                  <c:v>1.333</c:v>
                </c:pt>
                <c:pt idx="13">
                  <c:v>1.352</c:v>
                </c:pt>
                <c:pt idx="14">
                  <c:v>1.372</c:v>
                </c:pt>
                <c:pt idx="15">
                  <c:v>1.392</c:v>
                </c:pt>
                <c:pt idx="16">
                  <c:v>1.412</c:v>
                </c:pt>
                <c:pt idx="17">
                  <c:v>1.423</c:v>
                </c:pt>
                <c:pt idx="18">
                  <c:v>1.433</c:v>
                </c:pt>
                <c:pt idx="19">
                  <c:v>1.443</c:v>
                </c:pt>
                <c:pt idx="20">
                  <c:v>1.482</c:v>
                </c:pt>
                <c:pt idx="21">
                  <c:v>1.512</c:v>
                </c:pt>
                <c:pt idx="22">
                  <c:v>1.551</c:v>
                </c:pt>
                <c:pt idx="23">
                  <c:v>1.57</c:v>
                </c:pt>
                <c:pt idx="24">
                  <c:v>1.588</c:v>
                </c:pt>
                <c:pt idx="25">
                  <c:v>1.598</c:v>
                </c:pt>
                <c:pt idx="26">
                  <c:v>1.615</c:v>
                </c:pt>
                <c:pt idx="27">
                  <c:v>1.624</c:v>
                </c:pt>
                <c:pt idx="28">
                  <c:v>1.632</c:v>
                </c:pt>
                <c:pt idx="29">
                  <c:v>1.64</c:v>
                </c:pt>
                <c:pt idx="30">
                  <c:v>1.648</c:v>
                </c:pt>
                <c:pt idx="31">
                  <c:v>1.669</c:v>
                </c:pt>
                <c:pt idx="32">
                  <c:v>1.682</c:v>
                </c:pt>
                <c:pt idx="33">
                  <c:v>1.694</c:v>
                </c:pt>
                <c:pt idx="34">
                  <c:v>1.699</c:v>
                </c:pt>
                <c:pt idx="35">
                  <c:v>1.715</c:v>
                </c:pt>
                <c:pt idx="36">
                  <c:v>1.723</c:v>
                </c:pt>
                <c:pt idx="37">
                  <c:v>1.731</c:v>
                </c:pt>
                <c:pt idx="38">
                  <c:v>1.745</c:v>
                </c:pt>
                <c:pt idx="39">
                  <c:v>1.754</c:v>
                </c:pt>
                <c:pt idx="40">
                  <c:v>1.739</c:v>
                </c:pt>
                <c:pt idx="41">
                  <c:v>1.76</c:v>
                </c:pt>
                <c:pt idx="42">
                  <c:v>1.765</c:v>
                </c:pt>
                <c:pt idx="43">
                  <c:v>1.774</c:v>
                </c:pt>
                <c:pt idx="44">
                  <c:v>1.778</c:v>
                </c:pt>
                <c:pt idx="45">
                  <c:v>1.78</c:v>
                </c:pt>
                <c:pt idx="46">
                  <c:v>1.788</c:v>
                </c:pt>
                <c:pt idx="47">
                  <c:v>1.794</c:v>
                </c:pt>
                <c:pt idx="48">
                  <c:v>1.801</c:v>
                </c:pt>
                <c:pt idx="49">
                  <c:v>1.807</c:v>
                </c:pt>
                <c:pt idx="50">
                  <c:v>2.006</c:v>
                </c:pt>
                <c:pt idx="51">
                  <c:v>1.983</c:v>
                </c:pt>
                <c:pt idx="52">
                  <c:v>1.922</c:v>
                </c:pt>
                <c:pt idx="53">
                  <c:v>1.899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</c:numCache>
            </c:numRef>
          </c:xVal>
          <c:yVal>
            <c:numRef>
              <c:f>'Parte terza'!$D$10:$D$72</c:f>
              <c:numCache>
                <c:formatCode>General</c:formatCode>
                <c:ptCount val="63"/>
                <c:pt idx="0">
                  <c:v>5E-008</c:v>
                </c:pt>
                <c:pt idx="1">
                  <c:v>7E-008</c:v>
                </c:pt>
                <c:pt idx="2">
                  <c:v>9E-008</c:v>
                </c:pt>
                <c:pt idx="3">
                  <c:v>1.1E-007</c:v>
                </c:pt>
                <c:pt idx="4">
                  <c:v>1.5E-007</c:v>
                </c:pt>
                <c:pt idx="5">
                  <c:v>4.04E-006</c:v>
                </c:pt>
                <c:pt idx="6">
                  <c:v>0.00026</c:v>
                </c:pt>
                <c:pt idx="7">
                  <c:v>0.000246</c:v>
                </c:pt>
                <c:pt idx="8">
                  <c:v>0.001417</c:v>
                </c:pt>
                <c:pt idx="9">
                  <c:v>0.002179</c:v>
                </c:pt>
                <c:pt idx="10">
                  <c:v>0.002991</c:v>
                </c:pt>
                <c:pt idx="11">
                  <c:v>0.003838</c:v>
                </c:pt>
                <c:pt idx="12">
                  <c:v>1.8E-007</c:v>
                </c:pt>
                <c:pt idx="13">
                  <c:v>2.1E-007</c:v>
                </c:pt>
                <c:pt idx="14">
                  <c:v>2.7E-007</c:v>
                </c:pt>
                <c:pt idx="15">
                  <c:v>3.6E-007</c:v>
                </c:pt>
                <c:pt idx="16">
                  <c:v>5E-007</c:v>
                </c:pt>
                <c:pt idx="17">
                  <c:v>6E-007</c:v>
                </c:pt>
                <c:pt idx="18">
                  <c:v>7.4E-007</c:v>
                </c:pt>
                <c:pt idx="19">
                  <c:v>9.1E-007</c:v>
                </c:pt>
                <c:pt idx="20">
                  <c:v>2.36E-006</c:v>
                </c:pt>
                <c:pt idx="21">
                  <c:v>4.96E-006</c:v>
                </c:pt>
                <c:pt idx="22">
                  <c:v>1.374E-005</c:v>
                </c:pt>
                <c:pt idx="23">
                  <c:v>2.256E-005</c:v>
                </c:pt>
                <c:pt idx="24">
                  <c:v>3.585E-005</c:v>
                </c:pt>
                <c:pt idx="25">
                  <c:v>4.486E-005</c:v>
                </c:pt>
                <c:pt idx="26">
                  <c:v>6.853E-005</c:v>
                </c:pt>
                <c:pt idx="27">
                  <c:v>8.35E-005</c:v>
                </c:pt>
                <c:pt idx="28">
                  <c:v>0.0001006</c:v>
                </c:pt>
                <c:pt idx="29">
                  <c:v>0.0001199</c:v>
                </c:pt>
                <c:pt idx="30">
                  <c:v>0.0001417</c:v>
                </c:pt>
                <c:pt idx="31">
                  <c:v>0.0002246</c:v>
                </c:pt>
                <c:pt idx="32">
                  <c:v>0.0002946</c:v>
                </c:pt>
                <c:pt idx="33">
                  <c:v>0.0003758</c:v>
                </c:pt>
                <c:pt idx="34">
                  <c:v>0.0004738</c:v>
                </c:pt>
                <c:pt idx="35">
                  <c:v>0.000575</c:v>
                </c:pt>
                <c:pt idx="36">
                  <c:v>0.000688</c:v>
                </c:pt>
                <c:pt idx="37">
                  <c:v>0.000808</c:v>
                </c:pt>
                <c:pt idx="38">
                  <c:v>0.001067</c:v>
                </c:pt>
                <c:pt idx="39">
                  <c:v>0.001276</c:v>
                </c:pt>
                <c:pt idx="40">
                  <c:v>0.000935</c:v>
                </c:pt>
                <c:pt idx="41">
                  <c:v>0.00142</c:v>
                </c:pt>
                <c:pt idx="42">
                  <c:v>0.001569</c:v>
                </c:pt>
                <c:pt idx="43">
                  <c:v>0.001871</c:v>
                </c:pt>
                <c:pt idx="44">
                  <c:v>0.002027</c:v>
                </c:pt>
                <c:pt idx="45">
                  <c:v>0.002106</c:v>
                </c:pt>
                <c:pt idx="46">
                  <c:v>0.002424</c:v>
                </c:pt>
                <c:pt idx="47">
                  <c:v>0.002667</c:v>
                </c:pt>
                <c:pt idx="48">
                  <c:v>0.002997</c:v>
                </c:pt>
                <c:pt idx="49">
                  <c:v>0.003331</c:v>
                </c:pt>
                <c:pt idx="50">
                  <c:v>0.0278</c:v>
                </c:pt>
                <c:pt idx="51">
                  <c:v>0.0239</c:v>
                </c:pt>
                <c:pt idx="52">
                  <c:v>0.0145</c:v>
                </c:pt>
                <c:pt idx="53">
                  <c:v>0.01132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</c:numCache>
            </c:numRef>
          </c:yVal>
          <c:smooth val="0"/>
        </c:ser>
        <c:axId val="88009626"/>
        <c:axId val="12335463"/>
      </c:scatterChart>
      <c:valAx>
        <c:axId val="880096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35463"/>
        <c:crosses val="autoZero"/>
        <c:crossBetween val="midCat"/>
      </c:valAx>
      <c:valAx>
        <c:axId val="123354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096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601200</xdr:colOff>
      <xdr:row>19</xdr:row>
      <xdr:rowOff>97200</xdr:rowOff>
    </xdr:from>
    <xdr:to>
      <xdr:col>17</xdr:col>
      <xdr:colOff>312120</xdr:colOff>
      <xdr:row>34</xdr:row>
      <xdr:rowOff>99000</xdr:rowOff>
    </xdr:to>
    <xdr:graphicFrame>
      <xdr:nvGraphicFramePr>
        <xdr:cNvPr id="0" name="Chart 1"/>
        <xdr:cNvGraphicFramePr/>
      </xdr:nvGraphicFramePr>
      <xdr:xfrm>
        <a:off x="8797680" y="3444840"/>
        <a:ext cx="5654520" cy="276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529920</xdr:colOff>
      <xdr:row>105</xdr:row>
      <xdr:rowOff>75960</xdr:rowOff>
    </xdr:from>
    <xdr:to>
      <xdr:col>13</xdr:col>
      <xdr:colOff>533160</xdr:colOff>
      <xdr:row>120</xdr:row>
      <xdr:rowOff>86760</xdr:rowOff>
    </xdr:to>
    <xdr:graphicFrame>
      <xdr:nvGraphicFramePr>
        <xdr:cNvPr id="1" name="Chart 2"/>
        <xdr:cNvGraphicFramePr/>
      </xdr:nvGraphicFramePr>
      <xdr:xfrm>
        <a:off x="6059160" y="19260360"/>
        <a:ext cx="5642280" cy="277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568440</xdr:colOff>
      <xdr:row>36</xdr:row>
      <xdr:rowOff>54000</xdr:rowOff>
    </xdr:from>
    <xdr:to>
      <xdr:col>16</xdr:col>
      <xdr:colOff>399960</xdr:colOff>
      <xdr:row>51</xdr:row>
      <xdr:rowOff>34560</xdr:rowOff>
    </xdr:to>
    <xdr:graphicFrame>
      <xdr:nvGraphicFramePr>
        <xdr:cNvPr id="2" name="Chart 1"/>
        <xdr:cNvGraphicFramePr/>
      </xdr:nvGraphicFramePr>
      <xdr:xfrm>
        <a:off x="5464080" y="6683400"/>
        <a:ext cx="7261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61"/>
  <sheetViews>
    <sheetView showFormulas="false" showGridLines="true" showRowColHeaders="true" showZeros="true" rightToLeft="false" tabSelected="true" showOutlineSymbols="true" defaultGridColor="true" view="normal" topLeftCell="V1" colorId="64" zoomScale="67" zoomScaleNormal="67" zoomScalePageLayoutView="100" workbookViewId="0">
      <selection pane="topLeft" activeCell="AF23" activeCellId="0" sqref="AF23"/>
    </sheetView>
  </sheetViews>
  <sheetFormatPr defaultRowHeight="14.5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0" width="10.82"/>
    <col collapsed="false" customWidth="true" hidden="false" outlineLevel="0" max="3" min="3" style="0" width="8.82"/>
    <col collapsed="false" customWidth="true" hidden="false" outlineLevel="0" max="5" min="4" style="0" width="10.82"/>
    <col collapsed="false" customWidth="true" hidden="false" outlineLevel="0" max="6" min="6" style="0" width="12.09"/>
    <col collapsed="false" customWidth="true" hidden="false" outlineLevel="0" max="8" min="7" style="0" width="10.82"/>
    <col collapsed="false" customWidth="true" hidden="false" outlineLevel="0" max="1025" min="9" style="0" width="8.36"/>
  </cols>
  <sheetData>
    <row r="1" customFormat="false" ht="14.5" hidden="false" customHeight="false" outlineLevel="0" collapsed="false">
      <c r="A1" s="0" t="s">
        <v>0</v>
      </c>
      <c r="I1" s="0" t="s">
        <v>1</v>
      </c>
    </row>
    <row r="2" customFormat="false" ht="14.5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6</v>
      </c>
      <c r="O2" s="0" t="s">
        <v>7</v>
      </c>
      <c r="P2" s="0" t="s">
        <v>8</v>
      </c>
      <c r="Q2" s="0" t="s">
        <v>9</v>
      </c>
    </row>
    <row r="3" customFormat="false" ht="13.8" hidden="false" customHeight="false" outlineLevel="0" collapsed="false">
      <c r="A3" s="0" t="n">
        <v>1</v>
      </c>
      <c r="B3" s="0" t="n">
        <v>0.1</v>
      </c>
      <c r="C3" s="0" t="n">
        <v>0.01</v>
      </c>
      <c r="D3" s="0" t="n">
        <f aca="false">235.6*10^-3</f>
        <v>0.2356</v>
      </c>
      <c r="E3" s="0" t="n">
        <f aca="false">0.1*10^-3</f>
        <v>0.0001</v>
      </c>
      <c r="F3" s="0" t="n">
        <f aca="false">B3/D3</f>
        <v>0.424448217317487</v>
      </c>
      <c r="G3" s="0" t="n">
        <f aca="false">SQRT((C3/D3)^2+(B3*E3/D3^2)^2)</f>
        <v>0.0424452040651057</v>
      </c>
      <c r="I3" s="1" t="n">
        <v>1</v>
      </c>
      <c r="J3" s="1" t="n">
        <v>0.5</v>
      </c>
      <c r="K3" s="1" t="n">
        <v>0.01</v>
      </c>
      <c r="L3" s="2" t="n">
        <v>3.7</v>
      </c>
      <c r="M3" s="1" t="n">
        <v>0.01</v>
      </c>
      <c r="N3" s="1" t="n">
        <f aca="false">J3/L3</f>
        <v>0.135135135135135</v>
      </c>
      <c r="O3" s="1" t="n">
        <f aca="false">SQRT((K3/L3)^2+(J3*M3/L3^2)^2)</f>
        <v>0.00272726876590131</v>
      </c>
      <c r="P3" s="1" t="n">
        <f aca="false">N3*10^3</f>
        <v>135.135135135135</v>
      </c>
      <c r="S3" s="3" t="s">
        <v>10</v>
      </c>
      <c r="T3" s="3"/>
    </row>
    <row r="4" customFormat="false" ht="13.8" hidden="false" customHeight="false" outlineLevel="0" collapsed="false">
      <c r="A4" s="0" t="n">
        <v>2</v>
      </c>
      <c r="B4" s="0" t="n">
        <v>0.2</v>
      </c>
      <c r="C4" s="0" t="n">
        <v>0.01</v>
      </c>
      <c r="D4" s="0" t="n">
        <f aca="false">468.6*10^-3</f>
        <v>0.4686</v>
      </c>
      <c r="E4" s="0" t="n">
        <f aca="false">0.1*10^-3</f>
        <v>0.0001</v>
      </c>
      <c r="F4" s="0" t="n">
        <f aca="false">B4/D4</f>
        <v>0.426803243704652</v>
      </c>
      <c r="G4" s="0" t="n">
        <f aca="false">SQRT((C4/D4)^2+(B4*E4/D4^2)^2)</f>
        <v>0.0213403565516211</v>
      </c>
      <c r="I4" s="1" t="n">
        <v>2</v>
      </c>
      <c r="J4" s="1" t="n">
        <v>0.6</v>
      </c>
      <c r="K4" s="1" t="n">
        <v>0.01</v>
      </c>
      <c r="L4" s="1" t="n">
        <v>4.5</v>
      </c>
      <c r="M4" s="1" t="n">
        <v>1.01</v>
      </c>
      <c r="N4" s="1" t="n">
        <f aca="false">J4/L4</f>
        <v>0.133333333333333</v>
      </c>
      <c r="O4" s="1" t="n">
        <f aca="false">SQRT((K4/L4)^2+(J4*M4/L4^2)^2)</f>
        <v>0.0300083207482349</v>
      </c>
      <c r="P4" s="1" t="n">
        <f aca="false">N4*10^3</f>
        <v>133.333333333333</v>
      </c>
      <c r="S4" s="3"/>
      <c r="T4" s="3"/>
    </row>
    <row r="5" customFormat="false" ht="13.8" hidden="false" customHeight="false" outlineLevel="0" collapsed="false">
      <c r="A5" s="0" t="n">
        <v>3</v>
      </c>
      <c r="B5" s="0" t="n">
        <v>0.3</v>
      </c>
      <c r="C5" s="0" t="n">
        <v>0.01</v>
      </c>
      <c r="D5" s="4" t="n">
        <v>0.701</v>
      </c>
      <c r="E5" s="0" t="n">
        <v>0.001</v>
      </c>
      <c r="F5" s="0" t="n">
        <f aca="false">B5/D5</f>
        <v>0.427960057061341</v>
      </c>
      <c r="G5" s="0" t="n">
        <f aca="false">SQRT((C5/D5)^2+(B5*E5/D5^2)^2)</f>
        <v>0.0142783927266415</v>
      </c>
      <c r="I5" s="0" t="n">
        <v>1</v>
      </c>
      <c r="J5" s="0" t="n">
        <v>0.7</v>
      </c>
      <c r="K5" s="0" t="n">
        <v>0.01</v>
      </c>
      <c r="L5" s="0" t="n">
        <v>20.422</v>
      </c>
      <c r="M5" s="0" t="n">
        <v>0.01</v>
      </c>
      <c r="N5" s="0" t="n">
        <f aca="false">J5/L5</f>
        <v>0.0342767603564783</v>
      </c>
      <c r="O5" s="0" t="n">
        <f aca="false">SQRT((K5/L5)^2+(J5*M5/L5^2)^2)</f>
        <v>0.000489955575214911</v>
      </c>
      <c r="P5" s="0" t="n">
        <f aca="false">N5*10^3</f>
        <v>34.2767603564783</v>
      </c>
      <c r="Q5" s="0" t="n">
        <f aca="false">O5*10^3</f>
        <v>0.489955575214911</v>
      </c>
      <c r="AB5" s="4"/>
    </row>
    <row r="6" customFormat="false" ht="13.8" hidden="false" customHeight="false" outlineLevel="0" collapsed="false">
      <c r="A6" s="0" t="n">
        <v>4</v>
      </c>
      <c r="B6" s="0" t="n">
        <v>0.4</v>
      </c>
      <c r="C6" s="0" t="n">
        <v>0.01</v>
      </c>
      <c r="D6" s="4" t="n">
        <v>0.934</v>
      </c>
      <c r="E6" s="0" t="n">
        <v>0.001</v>
      </c>
      <c r="F6" s="0" t="n">
        <f aca="false">B6/D6</f>
        <v>0.428265524625268</v>
      </c>
      <c r="G6" s="0" t="n">
        <f aca="false">SQRT((C6/D6)^2+(B6*E6/D6^2)^2)</f>
        <v>0.0107164522129176</v>
      </c>
      <c r="I6" s="0" t="n">
        <v>2</v>
      </c>
      <c r="J6" s="0" t="n">
        <v>1</v>
      </c>
      <c r="K6" s="0" t="n">
        <v>0.01</v>
      </c>
      <c r="L6" s="4" t="n">
        <v>29.19</v>
      </c>
      <c r="M6" s="0" t="n">
        <v>0.01</v>
      </c>
      <c r="N6" s="0" t="n">
        <f aca="false">J6/L6</f>
        <v>0.0342583076396026</v>
      </c>
      <c r="O6" s="0" t="n">
        <f aca="false">SQRT((K6/L6)^2+(J6*M6/L6^2)^2)</f>
        <v>0.000342784050615184</v>
      </c>
      <c r="P6" s="0" t="n">
        <f aca="false">N6*10^3</f>
        <v>34.2583076396026</v>
      </c>
      <c r="Q6" s="0" t="n">
        <f aca="false">O6*10^3</f>
        <v>0.342784050615184</v>
      </c>
      <c r="AB6" s="4"/>
    </row>
    <row r="7" customFormat="false" ht="13.8" hidden="false" customHeight="false" outlineLevel="0" collapsed="false">
      <c r="A7" s="0" t="n">
        <v>5</v>
      </c>
      <c r="B7" s="0" t="n">
        <v>0.5</v>
      </c>
      <c r="C7" s="0" t="n">
        <v>0.01</v>
      </c>
      <c r="D7" s="4" t="n">
        <v>1.17</v>
      </c>
      <c r="E7" s="0" t="n">
        <v>0.001</v>
      </c>
      <c r="F7" s="0" t="n">
        <f aca="false">B7/D7</f>
        <v>0.427350427350427</v>
      </c>
      <c r="G7" s="0" t="n">
        <f aca="false">SQRT((C7/D7)^2+(B7*E7/D7^2)^2)</f>
        <v>0.00855480961884573</v>
      </c>
      <c r="I7" s="0" t="n">
        <v>3</v>
      </c>
      <c r="J7" s="0" t="n">
        <v>1.5</v>
      </c>
      <c r="K7" s="0" t="n">
        <v>0.01</v>
      </c>
      <c r="L7" s="4" t="n">
        <v>43.81</v>
      </c>
      <c r="M7" s="0" t="n">
        <v>0.01</v>
      </c>
      <c r="N7" s="0" t="n">
        <f aca="false">J7/L7</f>
        <v>0.0342387582743666</v>
      </c>
      <c r="O7" s="0" t="n">
        <f aca="false">SQRT((K7/L7)^2+(J7*M7/L7^2)^2)</f>
        <v>0.000228392142113894</v>
      </c>
      <c r="P7" s="0" t="n">
        <f aca="false">N7*10^3</f>
        <v>34.2387582743666</v>
      </c>
      <c r="Q7" s="0" t="n">
        <f aca="false">O7*10^3</f>
        <v>0.228392142113894</v>
      </c>
      <c r="AB7" s="4"/>
      <c r="BX7" s="4"/>
    </row>
    <row r="8" customFormat="false" ht="13.8" hidden="false" customHeight="false" outlineLevel="0" collapsed="false">
      <c r="A8" s="0" t="n">
        <v>6</v>
      </c>
      <c r="B8" s="0" t="n">
        <v>0.6</v>
      </c>
      <c r="C8" s="0" t="n">
        <v>0.01</v>
      </c>
      <c r="D8" s="4" t="n">
        <v>1.403</v>
      </c>
      <c r="E8" s="0" t="n">
        <v>0.001</v>
      </c>
      <c r="F8" s="0" t="n">
        <f aca="false">B8/D8</f>
        <v>0.427655024946543</v>
      </c>
      <c r="G8" s="0" t="n">
        <f aca="false">SQRT((C8/D8)^2+(B8*E8/D8^2)^2)</f>
        <v>0.00713409854867925</v>
      </c>
      <c r="I8" s="0" t="n">
        <v>4</v>
      </c>
      <c r="J8" s="0" t="n">
        <v>1.75</v>
      </c>
      <c r="K8" s="0" t="n">
        <v>0.01</v>
      </c>
      <c r="L8" s="4" t="n">
        <v>51.16</v>
      </c>
      <c r="M8" s="0" t="n">
        <v>0.01</v>
      </c>
      <c r="N8" s="0" t="n">
        <f aca="false">J8/L8</f>
        <v>0.0342064112587959</v>
      </c>
      <c r="O8" s="0" t="n">
        <f aca="false">SQRT((K8/L8)^2+(J8*M8/L8^2)^2)</f>
        <v>0.000195579528586819</v>
      </c>
      <c r="P8" s="0" t="n">
        <f aca="false">N8*10^3</f>
        <v>34.2064112587959</v>
      </c>
      <c r="Q8" s="0" t="n">
        <f aca="false">O8*10^3</f>
        <v>0.195579528586819</v>
      </c>
      <c r="AB8" s="4"/>
      <c r="BX8" s="4"/>
    </row>
    <row r="9" customFormat="false" ht="13.8" hidden="false" customHeight="false" outlineLevel="0" collapsed="false">
      <c r="A9" s="0" t="n">
        <v>7</v>
      </c>
      <c r="B9" s="0" t="n">
        <v>0.7</v>
      </c>
      <c r="C9" s="0" t="n">
        <v>0.01</v>
      </c>
      <c r="D9" s="4" t="n">
        <v>1.636</v>
      </c>
      <c r="E9" s="0" t="n">
        <v>0.001</v>
      </c>
      <c r="F9" s="0" t="n">
        <f aca="false">B9/D9</f>
        <v>0.427872860635697</v>
      </c>
      <c r="G9" s="0" t="n">
        <f aca="false">SQRT((C9/D9)^2+(B9*E9/D9^2)^2)</f>
        <v>0.00611806208649674</v>
      </c>
      <c r="I9" s="0" t="n">
        <v>5</v>
      </c>
      <c r="J9" s="0" t="n">
        <v>2</v>
      </c>
      <c r="K9" s="0" t="n">
        <v>0.01</v>
      </c>
      <c r="L9" s="4" t="n">
        <v>58.46</v>
      </c>
      <c r="M9" s="0" t="n">
        <v>0.01</v>
      </c>
      <c r="N9" s="0" t="n">
        <f aca="false">J9/L9</f>
        <v>0.0342114266164899</v>
      </c>
      <c r="O9" s="0" t="n">
        <f aca="false">SQRT((K9/L9)^2+(J9*M9/L9^2)^2)</f>
        <v>0.000171157208299663</v>
      </c>
      <c r="P9" s="0" t="n">
        <f aca="false">N9*10^3</f>
        <v>34.2114266164899</v>
      </c>
      <c r="Q9" s="0" t="n">
        <f aca="false">O9*10^3</f>
        <v>0.171157208299663</v>
      </c>
      <c r="AB9" s="4"/>
      <c r="BX9" s="4"/>
    </row>
    <row r="10" customFormat="false" ht="13.8" hidden="false" customHeight="false" outlineLevel="0" collapsed="false">
      <c r="A10" s="0" t="n">
        <v>8</v>
      </c>
      <c r="B10" s="0" t="n">
        <v>0.8</v>
      </c>
      <c r="C10" s="0" t="n">
        <v>0.01</v>
      </c>
      <c r="D10" s="4" t="n">
        <v>1.869</v>
      </c>
      <c r="E10" s="0" t="n">
        <v>0.001</v>
      </c>
      <c r="F10" s="0" t="n">
        <f aca="false">B10/D10</f>
        <v>0.428036383092563</v>
      </c>
      <c r="G10" s="0" t="n">
        <f aca="false">SQRT((C10/D10)^2+(B10*E10/D10^2)^2)</f>
        <v>0.00535535396743087</v>
      </c>
      <c r="I10" s="0" t="n">
        <v>6</v>
      </c>
      <c r="J10" s="0" t="n">
        <v>2.5</v>
      </c>
      <c r="K10" s="0" t="n">
        <v>0.01</v>
      </c>
      <c r="L10" s="4" t="n">
        <v>73.2</v>
      </c>
      <c r="M10" s="0" t="n">
        <v>0.02</v>
      </c>
      <c r="N10" s="0" t="n">
        <f aca="false">J10/L10</f>
        <v>0.0341530054644809</v>
      </c>
      <c r="O10" s="0" t="n">
        <f aca="false">SQRT((K10/L10)^2+(J10*M10/L10^2)^2)</f>
        <v>0.000136930347101977</v>
      </c>
      <c r="P10" s="0" t="n">
        <f aca="false">N10*10^3</f>
        <v>34.1530054644809</v>
      </c>
      <c r="Q10" s="0" t="n">
        <f aca="false">O10*10^3</f>
        <v>0.136930347101977</v>
      </c>
      <c r="AB10" s="4"/>
      <c r="BX10" s="4"/>
    </row>
    <row r="11" customFormat="false" ht="13.8" hidden="false" customHeight="false" outlineLevel="0" collapsed="false">
      <c r="A11" s="0" t="n">
        <v>9</v>
      </c>
      <c r="B11" s="0" t="n">
        <v>0.9</v>
      </c>
      <c r="C11" s="0" t="n">
        <v>0.01</v>
      </c>
      <c r="D11" s="4" t="n">
        <v>2.105</v>
      </c>
      <c r="E11" s="0" t="n">
        <v>0.001</v>
      </c>
      <c r="F11" s="0" t="n">
        <f aca="false">B11/D11</f>
        <v>0.427553444180523</v>
      </c>
      <c r="G11" s="0" t="n">
        <f aca="false">SQRT((C11/D11)^2+(B11*E11/D11^2)^2)</f>
        <v>0.00475493393070121</v>
      </c>
      <c r="I11" s="0" t="n">
        <v>7</v>
      </c>
      <c r="J11" s="0" t="n">
        <v>3</v>
      </c>
      <c r="K11" s="0" t="n">
        <v>0.01</v>
      </c>
      <c r="L11" s="4" t="n">
        <v>87.95</v>
      </c>
      <c r="M11" s="0" t="n">
        <v>0.01</v>
      </c>
      <c r="N11" s="0" t="n">
        <f aca="false">J11/L11</f>
        <v>0.0341102899374645</v>
      </c>
      <c r="O11" s="0" t="n">
        <f aca="false">SQRT((K11/L11)^2+(J11*M11/L11^2)^2)</f>
        <v>0.000113767093441523</v>
      </c>
      <c r="P11" s="0" t="n">
        <f aca="false">N11*10^3</f>
        <v>34.1102899374645</v>
      </c>
      <c r="Q11" s="0" t="n">
        <f aca="false">O11*10^3</f>
        <v>0.113767093441523</v>
      </c>
      <c r="AB11" s="4"/>
      <c r="BX11" s="4"/>
    </row>
    <row r="12" customFormat="false" ht="13.8" hidden="false" customHeight="false" outlineLevel="0" collapsed="false">
      <c r="A12" s="0" t="n">
        <v>10</v>
      </c>
      <c r="B12" s="0" t="n">
        <v>1</v>
      </c>
      <c r="C12" s="0" t="n">
        <v>0.01</v>
      </c>
      <c r="D12" s="4" t="n">
        <v>2.338</v>
      </c>
      <c r="E12" s="0" t="n">
        <v>0.001</v>
      </c>
      <c r="F12" s="0" t="n">
        <f aca="false">B12/D12</f>
        <v>0.427715996578272</v>
      </c>
      <c r="G12" s="0" t="n">
        <f aca="false">SQRT((C12/D12)^2+(B12*E12/D12^2)^2)</f>
        <v>0.00428107051714444</v>
      </c>
      <c r="I12" s="0" t="n">
        <v>8</v>
      </c>
      <c r="J12" s="0" t="n">
        <v>3.5</v>
      </c>
      <c r="K12" s="0" t="n">
        <v>0.01</v>
      </c>
      <c r="L12" s="4" t="n">
        <v>102.78</v>
      </c>
      <c r="M12" s="0" t="n">
        <v>0.01</v>
      </c>
      <c r="N12" s="0" t="n">
        <f aca="false">J12/L12</f>
        <v>0.0340533177661024</v>
      </c>
      <c r="O12" s="0" t="n">
        <f aca="false">SQRT((K12/L12)^2+(J12*M12/L12^2)^2)</f>
        <v>9.73515904096676E-005</v>
      </c>
      <c r="P12" s="0" t="n">
        <f aca="false">N12*10^3</f>
        <v>34.0533177661024</v>
      </c>
      <c r="Q12" s="0" t="n">
        <f aca="false">O12*10^3</f>
        <v>0.0973515904096676</v>
      </c>
      <c r="AB12" s="4"/>
      <c r="BX12" s="4"/>
    </row>
    <row r="13" customFormat="false" ht="13.8" hidden="false" customHeight="false" outlineLevel="0" collapsed="false">
      <c r="A13" s="0" t="n">
        <v>11</v>
      </c>
      <c r="B13" s="0" t="n">
        <v>2</v>
      </c>
      <c r="C13" s="0" t="n">
        <v>0.01</v>
      </c>
      <c r="D13" s="4" t="n">
        <v>6.08</v>
      </c>
      <c r="E13" s="0" t="n">
        <v>0.001</v>
      </c>
      <c r="F13" s="0" t="n">
        <f aca="false">B13/D13</f>
        <v>0.328947368421053</v>
      </c>
      <c r="G13" s="0" t="n">
        <f aca="false">SQRT((C13/D13)^2+(B13*E13/D13^2)^2)</f>
        <v>0.0016456264565417</v>
      </c>
      <c r="I13" s="0" t="n">
        <v>9</v>
      </c>
      <c r="J13" s="0" t="n">
        <v>4</v>
      </c>
      <c r="K13" s="0" t="n">
        <v>0.01</v>
      </c>
      <c r="L13" s="4" t="n">
        <v>117.7</v>
      </c>
      <c r="M13" s="0" t="n">
        <v>0.01</v>
      </c>
      <c r="N13" s="0" t="n">
        <f aca="false">J13/L13</f>
        <v>0.0339847068819031</v>
      </c>
      <c r="O13" s="0" t="n">
        <f aca="false">SQRT((K13/L13)^2+(J13*M13/L13^2)^2)</f>
        <v>8.50108167804148E-005</v>
      </c>
      <c r="P13" s="0" t="n">
        <f aca="false">N13*10^3</f>
        <v>33.9847068819031</v>
      </c>
      <c r="Q13" s="0" t="n">
        <f aca="false">O13*10^3</f>
        <v>0.0850108167804148</v>
      </c>
      <c r="AB13" s="4"/>
      <c r="BX13" s="4"/>
    </row>
    <row r="14" customFormat="false" ht="13.8" hidden="false" customHeight="false" outlineLevel="0" collapsed="false">
      <c r="A14" s="0" t="n">
        <v>12</v>
      </c>
      <c r="B14" s="0" t="n">
        <v>2.5</v>
      </c>
      <c r="C14" s="0" t="n">
        <v>0.01</v>
      </c>
      <c r="D14" s="4" t="n">
        <v>7.6</v>
      </c>
      <c r="E14" s="0" t="n">
        <v>0.001</v>
      </c>
      <c r="F14" s="0" t="n">
        <f aca="false">B14/D14</f>
        <v>0.328947368421053</v>
      </c>
      <c r="G14" s="0" t="n">
        <f aca="false">SQRT((C14/D14)^2+(B14*E14/D14^2)^2)</f>
        <v>0.00131650116523336</v>
      </c>
      <c r="I14" s="0" t="n">
        <v>10</v>
      </c>
      <c r="J14" s="0" t="n">
        <v>4.2</v>
      </c>
      <c r="K14" s="0" t="n">
        <v>0.01</v>
      </c>
      <c r="L14" s="4" t="n">
        <v>123.7</v>
      </c>
      <c r="M14" s="0" t="n">
        <v>0.01</v>
      </c>
      <c r="N14" s="0" t="n">
        <f aca="false">J14/L14</f>
        <v>0.0339531123686338</v>
      </c>
      <c r="O14" s="0" t="n">
        <f aca="false">SQRT((K14/L14)^2+(J14*M14/L14^2)^2)</f>
        <v>8.08873274772009E-005</v>
      </c>
      <c r="P14" s="0" t="n">
        <f aca="false">N14*10^3</f>
        <v>33.9531123686338</v>
      </c>
      <c r="Q14" s="0" t="n">
        <f aca="false">O14*10^3</f>
        <v>0.0808873274772009</v>
      </c>
      <c r="AB14" s="4"/>
      <c r="BX14" s="4"/>
    </row>
    <row r="15" customFormat="false" ht="13.8" hidden="false" customHeight="false" outlineLevel="0" collapsed="false">
      <c r="B15" s="0" t="n">
        <v>3</v>
      </c>
      <c r="C15" s="0" t="n">
        <v>0.01</v>
      </c>
      <c r="D15" s="4" t="n">
        <v>9.125</v>
      </c>
      <c r="E15" s="0" t="n">
        <v>0.001</v>
      </c>
      <c r="F15" s="0" t="n">
        <f aca="false">B15/D15</f>
        <v>0.328767123287671</v>
      </c>
      <c r="G15" s="0" t="n">
        <f aca="false">SQRT((C15/D15)^2+(B15*E15/D15^2)^2)</f>
        <v>0.00109648251303938</v>
      </c>
      <c r="L15" s="4"/>
      <c r="AB15" s="4"/>
      <c r="BX15" s="4"/>
    </row>
    <row r="16" customFormat="false" ht="13.8" hidden="false" customHeight="false" outlineLevel="0" collapsed="false">
      <c r="L16" s="4"/>
      <c r="O16" s="0" t="s">
        <v>11</v>
      </c>
      <c r="P16" s="0" t="n">
        <f aca="false">AVERAGE(P5:P14)</f>
        <v>34.1446096564318</v>
      </c>
      <c r="BX16" s="4"/>
    </row>
    <row r="17" customFormat="false" ht="13.8" hidden="false" customHeight="false" outlineLevel="0" collapsed="false">
      <c r="O17" s="0" t="s">
        <v>12</v>
      </c>
      <c r="P17" s="0" t="n">
        <f aca="false">_xlfn.STDEV.S(P5:P14)</f>
        <v>0.11516249188949</v>
      </c>
      <c r="BX17" s="4"/>
    </row>
    <row r="18" customFormat="false" ht="13.8" hidden="false" customHeight="false" outlineLevel="0" collapsed="false">
      <c r="O18" s="0" t="s">
        <v>13</v>
      </c>
      <c r="P18" s="0" t="n">
        <f aca="false">P17/SQRT(10)</f>
        <v>0.0364175775391455</v>
      </c>
    </row>
    <row r="19" customFormat="false" ht="13.8" hidden="false" customHeight="false" outlineLevel="0" collapsed="false">
      <c r="A19" s="0" t="s">
        <v>14</v>
      </c>
      <c r="F19" s="0" t="s">
        <v>15</v>
      </c>
    </row>
    <row r="21" customFormat="false" ht="14.5" hidden="false" customHeight="false" outlineLevel="0" collapsed="false">
      <c r="B21" s="0" t="s">
        <v>16</v>
      </c>
      <c r="C21" s="0" t="s">
        <v>17</v>
      </c>
      <c r="D21" s="0" t="s">
        <v>6</v>
      </c>
    </row>
    <row r="34" customFormat="false" ht="14.5" hidden="false" customHeight="false" outlineLevel="0" collapsed="false">
      <c r="B34" s="0" t="s">
        <v>18</v>
      </c>
    </row>
    <row r="37" customFormat="false" ht="14.5" hidden="false" customHeight="false" outlineLevel="0" collapsed="false">
      <c r="E37" s="5" t="n">
        <f aca="false">AVERAGE(C51:C53)*10^3</f>
        <v>67957871.3538024</v>
      </c>
    </row>
    <row r="41" customFormat="false" ht="14.5" hidden="false" customHeight="false" outlineLevel="0" collapsed="false">
      <c r="B41" s="0" t="s">
        <v>19</v>
      </c>
    </row>
    <row r="48" customFormat="false" ht="14.5" hidden="false" customHeight="false" outlineLevel="0" collapsed="false">
      <c r="B48" s="0" t="s">
        <v>20</v>
      </c>
    </row>
    <row r="50" customFormat="false" ht="14.5" hidden="false" customHeight="false" outlineLevel="0" collapsed="false">
      <c r="A50" s="0" t="s">
        <v>16</v>
      </c>
      <c r="B50" s="0" t="s">
        <v>17</v>
      </c>
      <c r="C50" s="0" t="s">
        <v>6</v>
      </c>
    </row>
    <row r="51" customFormat="false" ht="14.5" hidden="false" customHeight="false" outlineLevel="0" collapsed="false">
      <c r="A51" s="0" t="n">
        <v>1</v>
      </c>
      <c r="B51" s="0" t="n">
        <f aca="false">14.72*10^(-6)</f>
        <v>1.472E-005</v>
      </c>
      <c r="C51" s="0" t="n">
        <f aca="false">A51/B51</f>
        <v>67934.7826086956</v>
      </c>
    </row>
    <row r="52" customFormat="false" ht="14.5" hidden="false" customHeight="false" outlineLevel="0" collapsed="false">
      <c r="A52" s="0" t="n">
        <v>2</v>
      </c>
      <c r="B52" s="0" t="n">
        <f aca="false">29.43*10^(-6)</f>
        <v>2.943E-005</v>
      </c>
      <c r="C52" s="0" t="n">
        <f aca="false">A52/B52</f>
        <v>67957.8661230037</v>
      </c>
      <c r="E52" s="0" t="s">
        <v>21</v>
      </c>
    </row>
    <row r="53" customFormat="false" ht="14.5" hidden="false" customHeight="false" outlineLevel="0" collapsed="false">
      <c r="A53" s="0" t="n">
        <v>3</v>
      </c>
      <c r="B53" s="0" t="n">
        <f aca="false">44.13*10^(-6)</f>
        <v>4.413E-005</v>
      </c>
      <c r="C53" s="0" t="n">
        <f aca="false">A53/B53</f>
        <v>67980.9653297077</v>
      </c>
      <c r="E53" s="5" t="n">
        <f aca="false">AVERAGE(C51:C53)</f>
        <v>67957.8713538024</v>
      </c>
    </row>
    <row r="54" customFormat="false" ht="14.5" hidden="false" customHeight="false" outlineLevel="0" collapsed="false">
      <c r="B54" s="0" t="s">
        <v>22</v>
      </c>
    </row>
    <row r="55" customFormat="false" ht="14.5" hidden="false" customHeight="false" outlineLevel="0" collapsed="false">
      <c r="B55" s="6" t="s">
        <v>16</v>
      </c>
      <c r="C55" s="6" t="s">
        <v>23</v>
      </c>
      <c r="D55" s="6" t="s">
        <v>24</v>
      </c>
      <c r="E55" s="1" t="s">
        <v>25</v>
      </c>
      <c r="F55" s="6" t="s">
        <v>26</v>
      </c>
      <c r="G55" s="6" t="s">
        <v>27</v>
      </c>
      <c r="H55" s="6" t="s">
        <v>28</v>
      </c>
      <c r="I55" s="6" t="s">
        <v>29</v>
      </c>
    </row>
    <row r="56" customFormat="false" ht="14.5" hidden="false" customHeight="false" outlineLevel="0" collapsed="false">
      <c r="A56" s="0" t="n">
        <v>1</v>
      </c>
      <c r="B56" s="0" t="n">
        <v>1.001</v>
      </c>
      <c r="C56" s="0" t="n">
        <v>0.001</v>
      </c>
      <c r="D56" s="0" t="n">
        <f aca="false">14.82 *10^(-6)</f>
        <v>1.482E-005</v>
      </c>
      <c r="E56" s="0" t="n">
        <v>0.01</v>
      </c>
      <c r="F56" s="0" t="n">
        <f aca="false">B56/D56</f>
        <v>67543.8596491228</v>
      </c>
      <c r="G56" s="0" t="n">
        <f aca="false">SQRT((C56/D56)^2+(B56*E56/D56^2)^2)</f>
        <v>45576153.6094446</v>
      </c>
      <c r="H56" s="0" t="n">
        <f aca="false">($E$53*F56/($E$53-F56))</f>
        <v>11086973.8050692</v>
      </c>
      <c r="I56" s="0" t="n">
        <f aca="false">SQRT((((F56/($P$16-F56))^2)*$P$18)^2+(($P$16/($P$16-F56))^2)*G56^2)</f>
        <v>23051.2004639371</v>
      </c>
    </row>
    <row r="57" customFormat="false" ht="14.5" hidden="false" customHeight="false" outlineLevel="0" collapsed="false">
      <c r="A57" s="0" t="n">
        <v>2</v>
      </c>
      <c r="B57" s="0" t="n">
        <v>1.5</v>
      </c>
      <c r="C57" s="0" t="n">
        <v>0.001</v>
      </c>
      <c r="D57" s="0" t="n">
        <f aca="false">22.22*10^(-6)</f>
        <v>2.222E-005</v>
      </c>
      <c r="E57" s="0" t="n">
        <v>0.01</v>
      </c>
      <c r="F57" s="0" t="n">
        <f aca="false">B57/D57</f>
        <v>67506.7506750675</v>
      </c>
      <c r="G57" s="0" t="n">
        <f aca="false">SQRT((C57/D57)^2+(B57*E57/D57^2)^2)</f>
        <v>30381075.9114049</v>
      </c>
      <c r="H57" s="0" t="n">
        <f aca="false">($E$53*F57/($E$53-F57))</f>
        <v>10169374.3916932</v>
      </c>
      <c r="I57" s="0" t="n">
        <f aca="false">SQRT((((F57/($P$16-F57))^2)*$P$18)^2+(($P$16/($P$16-F57))^2)*G57^2)</f>
        <v>15374.3873022276</v>
      </c>
    </row>
    <row r="58" customFormat="false" ht="14.5" hidden="false" customHeight="false" outlineLevel="0" collapsed="false">
      <c r="A58" s="0" t="n">
        <v>3</v>
      </c>
      <c r="B58" s="0" t="n">
        <v>2</v>
      </c>
      <c r="C58" s="0" t="n">
        <v>0.001</v>
      </c>
      <c r="D58" s="0" t="n">
        <f aca="false">29.6*10^(-6)</f>
        <v>2.96E-005</v>
      </c>
      <c r="E58" s="0" t="n">
        <v>0.01</v>
      </c>
      <c r="F58" s="0" t="n">
        <f aca="false">B58/D58</f>
        <v>67567.5675675676</v>
      </c>
      <c r="G58" s="0" t="n">
        <f aca="false">SQRT((C58/D58)^2+(B58*E58/D58^2)^2)</f>
        <v>22826880.935014</v>
      </c>
      <c r="H58" s="0" t="n">
        <f aca="false">($E$53*F58/($E$53-F58))</f>
        <v>11764549.118885</v>
      </c>
      <c r="I58" s="0" t="n">
        <f aca="false">SQRT((((F58/($P$16-F58))^2)*$P$18)^2+(($P$16/($P$16-F58))^2)*G58^2)</f>
        <v>11541.1733193139</v>
      </c>
    </row>
    <row r="59" customFormat="false" ht="14.5" hidden="false" customHeight="false" outlineLevel="0" collapsed="false">
      <c r="A59" s="0" t="n">
        <v>4</v>
      </c>
      <c r="B59" s="0" t="n">
        <v>2.499</v>
      </c>
      <c r="C59" s="0" t="n">
        <v>0.001</v>
      </c>
      <c r="D59" s="0" t="n">
        <f aca="false">37*10^(-6)</f>
        <v>3.7E-005</v>
      </c>
      <c r="E59" s="0" t="n">
        <v>0.01</v>
      </c>
      <c r="F59" s="0" t="n">
        <f aca="false">B59/D59</f>
        <v>67540.5405405405</v>
      </c>
      <c r="G59" s="0" t="n">
        <f aca="false">SQRT((C59/D59)^2+(B59*E59/D59^2)^2)</f>
        <v>18254200.146112</v>
      </c>
      <c r="H59" s="0" t="n">
        <f aca="false">($E$53*F59/($E$53-F59))</f>
        <v>10998256.585336</v>
      </c>
      <c r="I59" s="0" t="n">
        <f aca="false">SQRT((((F59/($P$16-F59))^2)*$P$18)^2+(($P$16/($P$16-F59))^2)*G59^2)</f>
        <v>9232.94052347836</v>
      </c>
    </row>
    <row r="60" customFormat="false" ht="14.5" hidden="false" customHeight="false" outlineLevel="0" collapsed="false">
      <c r="A60" s="0" t="n">
        <v>5</v>
      </c>
      <c r="B60" s="0" t="n">
        <v>2.998</v>
      </c>
      <c r="C60" s="0" t="n">
        <v>0.001</v>
      </c>
      <c r="D60" s="0" t="n">
        <f aca="false">44.4*10^(-6)</f>
        <v>4.44E-005</v>
      </c>
      <c r="E60" s="0" t="n">
        <v>0.01</v>
      </c>
      <c r="F60" s="0" t="n">
        <f aca="false">B60/D60</f>
        <v>67522.5225225225</v>
      </c>
      <c r="G60" s="0" t="n">
        <f aca="false">SQRT((C60/D60)^2+(B60*E60/D60^2)^2)</f>
        <v>15207775.3429272</v>
      </c>
      <c r="H60" s="0" t="n">
        <f aca="false">($E$53*F60/($E$53-F60))</f>
        <v>10540253.1702683</v>
      </c>
      <c r="I60" s="0" t="n">
        <f aca="false">SQRT((((F60/($P$16-F60))^2)*$P$18)^2+(($P$16/($P$16-F60))^2)*G60^2)</f>
        <v>7694.11814139618</v>
      </c>
    </row>
    <row r="63" customFormat="false" ht="14.5" hidden="false" customHeight="false" outlineLevel="0" collapsed="false">
      <c r="H63" s="0" t="s">
        <v>30</v>
      </c>
    </row>
    <row r="64" customFormat="false" ht="14.5" hidden="false" customHeight="false" outlineLevel="0" collapsed="false">
      <c r="H64" s="5" t="n">
        <f aca="false">AVERAGE(H56:H60)</f>
        <v>10911881.4142503</v>
      </c>
    </row>
    <row r="65" customFormat="false" ht="14.5" hidden="false" customHeight="false" outlineLevel="0" collapsed="false">
      <c r="A65" s="0" t="s">
        <v>31</v>
      </c>
    </row>
    <row r="67" customFormat="false" ht="14.5" hidden="false" customHeight="false" outlineLevel="0" collapsed="false">
      <c r="A67" s="0" t="s">
        <v>32</v>
      </c>
    </row>
    <row r="68" customFormat="false" ht="14.5" hidden="false" customHeight="false" outlineLevel="0" collapsed="false">
      <c r="A68" s="0" t="s">
        <v>33</v>
      </c>
    </row>
    <row r="70" customFormat="false" ht="14.5" hidden="false" customHeight="false" outlineLevel="0" collapsed="false">
      <c r="A70" s="0" t="s">
        <v>34</v>
      </c>
    </row>
    <row r="72" customFormat="false" ht="14.5" hidden="false" customHeight="false" outlineLevel="0" collapsed="false">
      <c r="A72" s="0" t="s">
        <v>35</v>
      </c>
    </row>
    <row r="73" customFormat="false" ht="14.5" hidden="false" customHeight="false" outlineLevel="0" collapsed="false">
      <c r="A73" s="0" t="n">
        <f aca="false">10^6</f>
        <v>1000000</v>
      </c>
      <c r="B73" s="0" t="s">
        <v>36</v>
      </c>
      <c r="D73" s="0" t="n">
        <f aca="false">10^-6</f>
        <v>1E-006</v>
      </c>
    </row>
    <row r="75" customFormat="false" ht="14.5" hidden="false" customHeight="false" outlineLevel="0" collapsed="false">
      <c r="B75" s="6" t="s">
        <v>16</v>
      </c>
      <c r="C75" s="6" t="s">
        <v>23</v>
      </c>
      <c r="D75" s="6" t="s">
        <v>37</v>
      </c>
      <c r="E75" s="6" t="s">
        <v>25</v>
      </c>
      <c r="F75" s="6" t="s">
        <v>26</v>
      </c>
      <c r="G75" s="6" t="s">
        <v>27</v>
      </c>
      <c r="H75" s="6" t="s">
        <v>6</v>
      </c>
      <c r="I75" s="6" t="s">
        <v>6</v>
      </c>
    </row>
    <row r="76" customFormat="false" ht="14.5" hidden="false" customHeight="false" outlineLevel="0" collapsed="false">
      <c r="A76" s="0" t="n">
        <v>1</v>
      </c>
      <c r="B76" s="0" t="n">
        <v>0.102</v>
      </c>
      <c r="C76" s="0" t="n">
        <v>0.001</v>
      </c>
      <c r="D76" s="0" t="n">
        <f aca="false">0.11*D73</f>
        <v>1.1E-007</v>
      </c>
      <c r="E76" s="0" t="n">
        <f aca="false">0.01*$D$73</f>
        <v>1E-008</v>
      </c>
      <c r="F76" s="7" t="n">
        <f aca="false">B76/D76</f>
        <v>927272.727272727</v>
      </c>
      <c r="G76" s="7" t="n">
        <f aca="false">SQRT((C76/D76)^2+(B76*E76/D76^2)^2)</f>
        <v>84786.2997053024</v>
      </c>
    </row>
    <row r="77" customFormat="false" ht="14.5" hidden="false" customHeight="false" outlineLevel="0" collapsed="false">
      <c r="A77" s="0" t="n">
        <v>2</v>
      </c>
      <c r="B77" s="0" t="n">
        <v>0.701</v>
      </c>
      <c r="C77" s="0" t="n">
        <v>0.001</v>
      </c>
      <c r="D77" s="0" t="n">
        <f aca="false">0.72*D73</f>
        <v>7.2E-007</v>
      </c>
      <c r="E77" s="0" t="n">
        <f aca="false">0.01*$D$73</f>
        <v>1E-008</v>
      </c>
      <c r="F77" s="7" t="n">
        <f aca="false">B77/D77</f>
        <v>973611.111111111</v>
      </c>
      <c r="G77" s="7" t="n">
        <f aca="false">SQRT((C77/D77)^2+(B77*E77/D77^2)^2)</f>
        <v>13593.5160912117</v>
      </c>
    </row>
    <row r="78" customFormat="false" ht="14.5" hidden="false" customHeight="false" outlineLevel="0" collapsed="false">
      <c r="A78" s="0" t="n">
        <v>3</v>
      </c>
      <c r="B78" s="0" t="n">
        <v>1.202</v>
      </c>
      <c r="C78" s="0" t="n">
        <v>0.001</v>
      </c>
      <c r="D78" s="0" t="n">
        <f aca="false">1.23*D73</f>
        <v>1.23E-006</v>
      </c>
      <c r="E78" s="0" t="n">
        <f aca="false">0.01*$D$73</f>
        <v>1E-008</v>
      </c>
      <c r="F78" s="7" t="n">
        <f aca="false">B78/D78</f>
        <v>977235.772357724</v>
      </c>
      <c r="G78" s="7" t="n">
        <f aca="false">SQRT((C78/D78)^2+(B78*E78/D78^2)^2)</f>
        <v>7986.49528881027</v>
      </c>
    </row>
    <row r="79" customFormat="false" ht="14.5" hidden="false" customHeight="false" outlineLevel="0" collapsed="false">
      <c r="A79" s="0" t="n">
        <v>4</v>
      </c>
      <c r="B79" s="0" t="n">
        <v>1.402</v>
      </c>
      <c r="C79" s="0" t="n">
        <v>0.001</v>
      </c>
      <c r="D79" s="0" t="n">
        <f aca="false">1.44*D73</f>
        <v>1.44E-006</v>
      </c>
      <c r="E79" s="0" t="n">
        <f aca="false">0.01*$D$73</f>
        <v>1E-008</v>
      </c>
      <c r="F79" s="7" t="n">
        <f aca="false">B79/D79</f>
        <v>973611.111111111</v>
      </c>
      <c r="G79" s="7" t="n">
        <f aca="false">SQRT((C79/D79)^2+(B79*E79/D79^2)^2)</f>
        <v>6796.75804560586</v>
      </c>
    </row>
    <row r="80" customFormat="false" ht="14.5" hidden="false" customHeight="false" outlineLevel="0" collapsed="false">
      <c r="A80" s="0" t="n">
        <v>5</v>
      </c>
      <c r="B80" s="0" t="n">
        <v>1.601</v>
      </c>
      <c r="C80" s="0" t="n">
        <v>0.001</v>
      </c>
      <c r="D80" s="0" t="n">
        <f aca="false">1.64*D73</f>
        <v>1.64E-006</v>
      </c>
      <c r="E80" s="0" t="n">
        <f aca="false">0.01*$D$73</f>
        <v>1E-008</v>
      </c>
      <c r="F80" s="7" t="n">
        <f aca="false">B80/D80</f>
        <v>976219.512195122</v>
      </c>
      <c r="G80" s="7" t="n">
        <f aca="false">SQRT((C80/D80)^2+(B80*E80/D80^2)^2)</f>
        <v>5983.70698280265</v>
      </c>
    </row>
    <row r="81" customFormat="false" ht="14.5" hidden="false" customHeight="false" outlineLevel="0" collapsed="false">
      <c r="A81" s="0" t="n">
        <v>6</v>
      </c>
      <c r="B81" s="0" t="n">
        <v>1.802</v>
      </c>
      <c r="C81" s="0" t="n">
        <v>0.001</v>
      </c>
      <c r="D81" s="0" t="n">
        <f aca="false">1.85*D73</f>
        <v>1.85E-006</v>
      </c>
      <c r="E81" s="0" t="n">
        <f aca="false">0.01*$D$73</f>
        <v>1E-008</v>
      </c>
      <c r="F81" s="7" t="n">
        <f aca="false">B81/D81</f>
        <v>974054.054054054</v>
      </c>
      <c r="G81" s="7" t="n">
        <f aca="false">SQRT((C81/D81)^2+(B81*E81/D81^2)^2)</f>
        <v>5292.83126747672</v>
      </c>
    </row>
    <row r="82" customFormat="false" ht="14.5" hidden="false" customHeight="false" outlineLevel="0" collapsed="false">
      <c r="A82" s="0" t="n">
        <v>7</v>
      </c>
      <c r="B82" s="0" t="n">
        <v>2.002</v>
      </c>
      <c r="C82" s="0" t="n">
        <v>0.001</v>
      </c>
      <c r="D82" s="0" t="n">
        <f aca="false">2.05*D73</f>
        <v>2.05E-006</v>
      </c>
      <c r="E82" s="0" t="n">
        <f aca="false">0.01*$D$73</f>
        <v>1E-008</v>
      </c>
      <c r="F82" s="7" t="n">
        <f aca="false">B82/D82</f>
        <v>976585.365853659</v>
      </c>
      <c r="G82" s="7" t="n">
        <f aca="false">SQRT((C82/D82)^2+(B82*E82/D82^2)^2)</f>
        <v>4788.74095144519</v>
      </c>
    </row>
    <row r="83" customFormat="false" ht="14.5" hidden="false" customHeight="false" outlineLevel="0" collapsed="false">
      <c r="A83" s="0" t="n">
        <v>8</v>
      </c>
      <c r="B83" s="0" t="n">
        <v>2.203</v>
      </c>
      <c r="C83" s="0" t="n">
        <v>0.001</v>
      </c>
      <c r="D83" s="0" t="n">
        <f aca="false">2.25*D73</f>
        <v>2.25E-006</v>
      </c>
      <c r="E83" s="0" t="n">
        <f aca="false">0.01*$D$73</f>
        <v>1E-008</v>
      </c>
      <c r="F83" s="7" t="n">
        <f aca="false">B83/D83</f>
        <v>979111.111111111</v>
      </c>
      <c r="G83" s="7" t="n">
        <f aca="false">SQRT((C83/D83)^2+(B83*E83/D83^2)^2)</f>
        <v>4374.24238045714</v>
      </c>
    </row>
    <row r="84" customFormat="false" ht="14.5" hidden="false" customHeight="false" outlineLevel="0" collapsed="false">
      <c r="A84" s="0" t="n">
        <v>9</v>
      </c>
      <c r="B84" s="0" t="n">
        <v>2.402</v>
      </c>
      <c r="C84" s="0" t="n">
        <v>0.001</v>
      </c>
      <c r="D84" s="0" t="n">
        <f aca="false">2.46*D73</f>
        <v>2.46E-006</v>
      </c>
      <c r="E84" s="0" t="n">
        <f aca="false">0.01*$D$73</f>
        <v>1E-008</v>
      </c>
      <c r="F84" s="7" t="n">
        <f aca="false">B84/D84</f>
        <v>976422.764227643</v>
      </c>
      <c r="G84" s="7" t="n">
        <f aca="false">SQRT((C84/D84)^2+(B84*E84/D84^2)^2)</f>
        <v>3989.95991615946</v>
      </c>
    </row>
    <row r="85" customFormat="false" ht="14.5" hidden="false" customHeight="false" outlineLevel="0" collapsed="false">
      <c r="A85" s="0" t="n">
        <v>10</v>
      </c>
      <c r="B85" s="0" t="n">
        <v>2.602</v>
      </c>
      <c r="C85" s="0" t="n">
        <v>0.001</v>
      </c>
      <c r="D85" s="0" t="n">
        <f aca="false">2.66*D73</f>
        <v>2.66E-006</v>
      </c>
      <c r="E85" s="0" t="n">
        <f aca="false">0.01*$D$73</f>
        <v>1E-008</v>
      </c>
      <c r="F85" s="7" t="n">
        <f aca="false">B85/D85</f>
        <v>978195.488721804</v>
      </c>
      <c r="G85" s="7" t="n">
        <f aca="false">SQRT((C85/D85)^2+(B85*E85/D85^2)^2)</f>
        <v>3696.59269216105</v>
      </c>
    </row>
    <row r="86" customFormat="false" ht="14.5" hidden="false" customHeight="false" outlineLevel="0" collapsed="false">
      <c r="A86" s="0" t="n">
        <v>11</v>
      </c>
      <c r="B86" s="0" t="n">
        <v>2.803</v>
      </c>
      <c r="C86" s="0" t="n">
        <v>0.001</v>
      </c>
      <c r="D86" s="0" t="n">
        <f aca="false">2.87*D73</f>
        <v>2.87E-006</v>
      </c>
      <c r="E86" s="0" t="n">
        <f aca="false">0.01*$D$73</f>
        <v>1E-008</v>
      </c>
      <c r="F86" s="7" t="n">
        <f aca="false">B86/D86</f>
        <v>976655.052264808</v>
      </c>
      <c r="G86" s="7" t="n">
        <f aca="false">SQRT((C86/D86)^2+(B86*E86/D86^2)^2)</f>
        <v>3420.77079787748</v>
      </c>
    </row>
    <row r="87" customFormat="false" ht="14.5" hidden="false" customHeight="false" outlineLevel="0" collapsed="false">
      <c r="A87" s="0" t="n">
        <v>12</v>
      </c>
      <c r="B87" s="0" t="n">
        <v>3.002</v>
      </c>
      <c r="C87" s="0" t="n">
        <v>0.001</v>
      </c>
      <c r="D87" s="0" t="n">
        <f aca="false">3.07*D73</f>
        <v>3.07E-006</v>
      </c>
      <c r="E87" s="0" t="n">
        <f aca="false">0.01*$D$73</f>
        <v>1E-008</v>
      </c>
      <c r="F87" s="7" t="n">
        <f aca="false">B87/D87</f>
        <v>977850.16286645</v>
      </c>
      <c r="G87" s="7" t="n">
        <f aca="false">SQRT((C87/D87)^2+(B87*E87/D87^2)^2)</f>
        <v>3201.79192614853</v>
      </c>
    </row>
    <row r="88" customFormat="false" ht="14.5" hidden="false" customHeight="false" outlineLevel="0" collapsed="false">
      <c r="A88" s="0" t="n">
        <v>13</v>
      </c>
      <c r="B88" s="0" t="n">
        <v>3.203</v>
      </c>
      <c r="C88" s="0" t="n">
        <v>0.001</v>
      </c>
      <c r="D88" s="0" t="n">
        <f aca="false">3.27*D73</f>
        <v>3.27E-006</v>
      </c>
      <c r="E88" s="0" t="n">
        <f aca="false">0.01*$D$73</f>
        <v>1E-008</v>
      </c>
      <c r="F88" s="7" t="n">
        <f aca="false">B88/D88</f>
        <v>979510.703363914</v>
      </c>
      <c r="G88" s="7" t="n">
        <f aca="false">SQRT((C88/D88)^2+(B88*E88/D88^2)^2)</f>
        <v>3011.01547625516</v>
      </c>
    </row>
    <row r="89" customFormat="false" ht="14.5" hidden="false" customHeight="false" outlineLevel="0" collapsed="false">
      <c r="A89" s="0" t="n">
        <v>14</v>
      </c>
      <c r="B89" s="0" t="n">
        <v>3.403</v>
      </c>
      <c r="C89" s="0" t="n">
        <v>0.001</v>
      </c>
      <c r="D89" s="0" t="n">
        <f aca="false">3.48*D73</f>
        <v>3.48E-006</v>
      </c>
      <c r="E89" s="0" t="n">
        <f aca="false">0.01*$D$73</f>
        <v>1E-008</v>
      </c>
      <c r="F89" s="7" t="n">
        <f aca="false">B89/D89</f>
        <v>977873.563218391</v>
      </c>
      <c r="G89" s="7" t="n">
        <f aca="false">SQRT((C89/D89)^2+(B89*E89/D89^2)^2)</f>
        <v>2824.6362076769</v>
      </c>
    </row>
    <row r="90" customFormat="false" ht="14.5" hidden="false" customHeight="false" outlineLevel="0" collapsed="false">
      <c r="A90" s="0" t="n">
        <v>15</v>
      </c>
      <c r="B90" s="0" t="n">
        <f aca="false">3.603</f>
        <v>3.603</v>
      </c>
      <c r="C90" s="0" t="n">
        <v>0.001</v>
      </c>
      <c r="D90" s="0" t="n">
        <f aca="false">3.68*D73</f>
        <v>3.68E-006</v>
      </c>
      <c r="E90" s="0" t="n">
        <f aca="false">0.01*$D$73</f>
        <v>1E-008</v>
      </c>
      <c r="F90" s="7" t="n">
        <f aca="false">B90/D90</f>
        <v>979076.086956522</v>
      </c>
      <c r="G90" s="7" t="n">
        <f aca="false">SQRT((C90/D90)^2+(B90*E90/D90^2)^2)</f>
        <v>2674.37416497448</v>
      </c>
    </row>
    <row r="91" customFormat="false" ht="14.5" hidden="false" customHeight="false" outlineLevel="0" collapsed="false">
      <c r="A91" s="0" t="n">
        <v>16</v>
      </c>
      <c r="B91" s="0" t="n">
        <v>3.802</v>
      </c>
      <c r="C91" s="0" t="n">
        <v>0.001</v>
      </c>
      <c r="D91" s="0" t="n">
        <f aca="false">3.88*D73</f>
        <v>3.88E-006</v>
      </c>
      <c r="E91" s="0" t="n">
        <f aca="false">0.01*$D$73</f>
        <v>1E-008</v>
      </c>
      <c r="F91" s="7" t="n">
        <f aca="false">B91/D91</f>
        <v>979896.907216495</v>
      </c>
      <c r="G91" s="7" t="n">
        <f aca="false">SQRT((C91/D91)^2+(B91*E91/D91^2)^2)</f>
        <v>2538.62440287808</v>
      </c>
    </row>
    <row r="92" customFormat="false" ht="14.5" hidden="false" customHeight="false" outlineLevel="0" collapsed="false">
      <c r="A92" s="0" t="n">
        <v>17</v>
      </c>
      <c r="B92" s="0" t="n">
        <v>4.003</v>
      </c>
      <c r="C92" s="0" t="n">
        <v>0.001</v>
      </c>
      <c r="D92" s="0" t="n">
        <f aca="false">4.09*D73</f>
        <v>4.09E-006</v>
      </c>
      <c r="E92" s="0" t="n">
        <f aca="false">0.01*$D$73</f>
        <v>1E-008</v>
      </c>
      <c r="F92" s="7" t="n">
        <f aca="false">B92/D92</f>
        <v>978728.606356968</v>
      </c>
      <c r="G92" s="7" t="n">
        <f aca="false">SQRT((C92/D92)^2+(B92*E92/D92^2)^2)</f>
        <v>2405.43768005617</v>
      </c>
    </row>
    <row r="93" customFormat="false" ht="14.5" hidden="false" customHeight="false" outlineLevel="0" collapsed="false">
      <c r="A93" s="0" t="n">
        <v>18</v>
      </c>
      <c r="B93" s="0" t="n">
        <v>4.302</v>
      </c>
      <c r="C93" s="0" t="n">
        <v>0.001</v>
      </c>
      <c r="D93" s="0" t="n">
        <f aca="false">4.4*D73</f>
        <v>4.4E-006</v>
      </c>
      <c r="E93" s="0" t="n">
        <f aca="false">0.01*$D$73</f>
        <v>1E-008</v>
      </c>
      <c r="F93" s="7" t="n">
        <f aca="false">B93/D93</f>
        <v>977727.272727273</v>
      </c>
      <c r="G93" s="7" t="n">
        <f aca="false">SQRT((C93/D93)^2+(B93*E93/D93^2)^2)</f>
        <v>2233.69970198556</v>
      </c>
    </row>
    <row r="94" customFormat="false" ht="14.5" hidden="false" customHeight="false" outlineLevel="0" collapsed="false">
      <c r="A94" s="0" t="n">
        <v>19</v>
      </c>
      <c r="B94" s="0" t="n">
        <v>4.503</v>
      </c>
      <c r="C94" s="0" t="n">
        <v>0.001</v>
      </c>
      <c r="D94" s="0" t="n">
        <f aca="false">4.6*D73</f>
        <v>4.6E-006</v>
      </c>
      <c r="E94" s="0" t="n">
        <f aca="false">0.01*$D$73</f>
        <v>1E-008</v>
      </c>
      <c r="F94" s="7" t="n">
        <f aca="false">B94/D94</f>
        <v>978913.043478261</v>
      </c>
      <c r="G94" s="7" t="n">
        <f aca="false">SQRT((C94/D94)^2+(B94*E94/D94^2)^2)</f>
        <v>2139.14672436785</v>
      </c>
    </row>
    <row r="95" customFormat="false" ht="14.5" hidden="false" customHeight="false" outlineLevel="0" collapsed="false">
      <c r="A95" s="0" t="n">
        <v>20</v>
      </c>
      <c r="B95" s="0" t="n">
        <v>4.703</v>
      </c>
      <c r="C95" s="0" t="n">
        <v>0.001</v>
      </c>
      <c r="D95" s="0" t="n">
        <f aca="false">4.8*D73</f>
        <v>4.8E-006</v>
      </c>
      <c r="E95" s="0" t="n">
        <f aca="false">0.01*$D$73</f>
        <v>1E-008</v>
      </c>
      <c r="F95" s="7" t="n">
        <f aca="false">B95/D95</f>
        <v>979791.666666667</v>
      </c>
      <c r="G95" s="7" t="n">
        <f aca="false">SQRT((C95/D95)^2+(B95*E95/D95^2)^2)</f>
        <v>2051.83660749171</v>
      </c>
    </row>
    <row r="97" customFormat="false" ht="14.5" hidden="false" customHeight="false" outlineLevel="0" collapsed="false">
      <c r="F97" s="7" t="n">
        <f aca="false">AVERAGE(F76:F95)</f>
        <v>974917.104156591</v>
      </c>
    </row>
    <row r="98" customFormat="false" ht="14.5" hidden="false" customHeight="false" outlineLevel="0" collapsed="false">
      <c r="F98" s="0" t="n">
        <f aca="false">_xlfn.STDEV.S(F76:F95)</f>
        <v>11379.3834867545</v>
      </c>
    </row>
    <row r="99" customFormat="false" ht="14.5" hidden="false" customHeight="false" outlineLevel="0" collapsed="false">
      <c r="F99" s="0" t="n">
        <f aca="false">F98/SQRT(20)</f>
        <v>2544.50750184215</v>
      </c>
    </row>
    <row r="100" customFormat="false" ht="14.5" hidden="false" customHeight="false" outlineLevel="0" collapsed="false">
      <c r="F100" s="0" t="n">
        <f aca="false">F99/F97</f>
        <v>0.00260997318745723</v>
      </c>
    </row>
    <row r="101" customFormat="false" ht="14.5" hidden="false" customHeight="false" outlineLevel="0" collapsed="false">
      <c r="A101" s="0" t="s">
        <v>35</v>
      </c>
    </row>
    <row r="102" customFormat="false" ht="14.5" hidden="false" customHeight="false" outlineLevel="0" collapsed="false">
      <c r="A102" s="0" t="n">
        <f aca="false">3.2*10^6</f>
        <v>3200000</v>
      </c>
      <c r="B102" s="0" t="s">
        <v>36</v>
      </c>
      <c r="D102" s="0" t="n">
        <f aca="false">10^-6</f>
        <v>1E-006</v>
      </c>
    </row>
    <row r="104" customFormat="false" ht="14.5" hidden="false" customHeight="false" outlineLevel="0" collapsed="false">
      <c r="B104" s="6" t="s">
        <v>16</v>
      </c>
      <c r="C104" s="6" t="s">
        <v>23</v>
      </c>
      <c r="D104" s="6" t="s">
        <v>37</v>
      </c>
      <c r="E104" s="6" t="s">
        <v>25</v>
      </c>
      <c r="F104" s="6" t="s">
        <v>26</v>
      </c>
      <c r="G104" s="6" t="s">
        <v>27</v>
      </c>
      <c r="H104" s="6" t="s">
        <v>6</v>
      </c>
      <c r="I104" s="6" t="s">
        <v>6</v>
      </c>
    </row>
    <row r="105" customFormat="false" ht="14.5" hidden="false" customHeight="false" outlineLevel="0" collapsed="false">
      <c r="A105" s="0" t="n">
        <v>1</v>
      </c>
      <c r="B105" s="0" t="n">
        <v>0.502</v>
      </c>
      <c r="C105" s="0" t="n">
        <v>0.001</v>
      </c>
      <c r="D105" s="0" t="n">
        <f aca="false">0.16*D102</f>
        <v>1.6E-007</v>
      </c>
      <c r="E105" s="0" t="n">
        <f aca="false">0.01*$D$102</f>
        <v>1E-008</v>
      </c>
      <c r="F105" s="7" t="n">
        <f aca="false">B105/D105</f>
        <v>3137500</v>
      </c>
    </row>
    <row r="106" customFormat="false" ht="14.5" hidden="false" customHeight="false" outlineLevel="0" collapsed="false">
      <c r="A106" s="0" t="n">
        <v>2</v>
      </c>
      <c r="B106" s="0" t="n">
        <v>0.701</v>
      </c>
      <c r="C106" s="0" t="n">
        <v>0.001</v>
      </c>
      <c r="D106" s="0" t="n">
        <f aca="false">0.23*D102</f>
        <v>2.3E-007</v>
      </c>
      <c r="E106" s="0" t="n">
        <f aca="false">0.01*$D$102</f>
        <v>1E-008</v>
      </c>
      <c r="F106" s="7" t="n">
        <f aca="false">B106/D106</f>
        <v>3047826.08695652</v>
      </c>
    </row>
    <row r="107" customFormat="false" ht="14.5" hidden="false" customHeight="false" outlineLevel="0" collapsed="false">
      <c r="A107" s="0" t="n">
        <v>3</v>
      </c>
      <c r="B107" s="0" t="n">
        <v>0.902</v>
      </c>
      <c r="C107" s="0" t="n">
        <v>0.001</v>
      </c>
      <c r="D107" s="0" t="n">
        <f aca="false">0.29*D102</f>
        <v>2.9E-007</v>
      </c>
      <c r="E107" s="0" t="n">
        <f aca="false">0.01*$D$102</f>
        <v>1E-008</v>
      </c>
      <c r="F107" s="7" t="n">
        <f aca="false">B107/D107</f>
        <v>3110344.82758621</v>
      </c>
    </row>
    <row r="108" customFormat="false" ht="14.5" hidden="false" customHeight="false" outlineLevel="0" collapsed="false">
      <c r="A108" s="0" t="n">
        <v>4</v>
      </c>
      <c r="B108" s="0" t="n">
        <v>1.202</v>
      </c>
      <c r="C108" s="0" t="n">
        <v>0.001</v>
      </c>
      <c r="D108" s="0" t="n">
        <f aca="false">0.38*D102</f>
        <v>3.8E-007</v>
      </c>
      <c r="E108" s="0" t="n">
        <f aca="false">0.01*$D$102</f>
        <v>1E-008</v>
      </c>
      <c r="F108" s="7" t="n">
        <f aca="false">B108/D108</f>
        <v>3163157.89473684</v>
      </c>
    </row>
    <row r="109" customFormat="false" ht="14.5" hidden="false" customHeight="false" outlineLevel="0" collapsed="false">
      <c r="A109" s="0" t="n">
        <v>5</v>
      </c>
      <c r="B109" s="0" t="n">
        <v>1.402</v>
      </c>
      <c r="C109" s="0" t="n">
        <v>0.001</v>
      </c>
      <c r="D109" s="0" t="n">
        <f aca="false">0.44*D102</f>
        <v>4.4E-007</v>
      </c>
      <c r="E109" s="0" t="n">
        <f aca="false">0.01*$D$102</f>
        <v>1E-008</v>
      </c>
      <c r="F109" s="7" t="n">
        <f aca="false">B109/D109</f>
        <v>3186363.63636364</v>
      </c>
    </row>
    <row r="110" customFormat="false" ht="14.5" hidden="false" customHeight="false" outlineLevel="0" collapsed="false">
      <c r="A110" s="0" t="n">
        <v>6</v>
      </c>
      <c r="B110" s="0" t="n">
        <v>1.602</v>
      </c>
      <c r="C110" s="0" t="n">
        <v>0.001</v>
      </c>
      <c r="D110" s="0" t="n">
        <f aca="false">0.5*D102</f>
        <v>5E-007</v>
      </c>
      <c r="E110" s="0" t="n">
        <f aca="false">0.01*$D$102</f>
        <v>1E-008</v>
      </c>
      <c r="F110" s="7" t="n">
        <f aca="false">B110/D110</f>
        <v>3204000</v>
      </c>
    </row>
    <row r="111" customFormat="false" ht="14.5" hidden="false" customHeight="false" outlineLevel="0" collapsed="false">
      <c r="A111" s="0" t="n">
        <v>7</v>
      </c>
      <c r="B111" s="0" t="n">
        <v>1.803</v>
      </c>
      <c r="C111" s="0" t="n">
        <v>0.001</v>
      </c>
      <c r="D111" s="0" t="n">
        <f aca="false">0.56*D102</f>
        <v>5.6E-007</v>
      </c>
      <c r="E111" s="0" t="n">
        <f aca="false">0.01*$D$102</f>
        <v>1E-008</v>
      </c>
      <c r="F111" s="7" t="n">
        <f aca="false">B111/D111</f>
        <v>3219642.85714286</v>
      </c>
    </row>
    <row r="112" customFormat="false" ht="14.5" hidden="false" customHeight="false" outlineLevel="0" collapsed="false">
      <c r="A112" s="0" t="n">
        <v>8</v>
      </c>
      <c r="B112" s="0" t="n">
        <v>2.002</v>
      </c>
      <c r="C112" s="0" t="n">
        <v>0.001</v>
      </c>
      <c r="D112" s="0" t="n">
        <f aca="false">0.63*D102</f>
        <v>6.3E-007</v>
      </c>
      <c r="E112" s="0" t="n">
        <f aca="false">0.01*$D$102</f>
        <v>1E-008</v>
      </c>
      <c r="F112" s="7" t="n">
        <f aca="false">B112/D112</f>
        <v>3177777.77777778</v>
      </c>
    </row>
    <row r="113" customFormat="false" ht="14.5" hidden="false" customHeight="false" outlineLevel="0" collapsed="false">
      <c r="A113" s="0" t="n">
        <v>9</v>
      </c>
      <c r="B113" s="0" t="n">
        <v>2.203</v>
      </c>
      <c r="C113" s="0" t="n">
        <v>0.001</v>
      </c>
      <c r="D113" s="0" t="n">
        <f aca="false">0.69*D102</f>
        <v>6.9E-007</v>
      </c>
      <c r="E113" s="0" t="n">
        <f aca="false">0.01*$D$102</f>
        <v>1E-008</v>
      </c>
      <c r="F113" s="7" t="n">
        <f aca="false">B113/D113</f>
        <v>3192753.62318841</v>
      </c>
    </row>
    <row r="114" customFormat="false" ht="14.5" hidden="false" customHeight="false" outlineLevel="0" collapsed="false">
      <c r="A114" s="0" t="n">
        <v>10</v>
      </c>
      <c r="B114" s="0" t="n">
        <v>2.402</v>
      </c>
      <c r="C114" s="0" t="n">
        <v>0.001</v>
      </c>
      <c r="D114" s="0" t="n">
        <f aca="false">0.75*D102</f>
        <v>7.5E-007</v>
      </c>
      <c r="E114" s="0" t="n">
        <f aca="false">0.01*$D$102</f>
        <v>1E-008</v>
      </c>
      <c r="F114" s="7" t="n">
        <f aca="false">B114/D114</f>
        <v>3202666.66666667</v>
      </c>
    </row>
    <row r="115" customFormat="false" ht="14.5" hidden="false" customHeight="false" outlineLevel="0" collapsed="false">
      <c r="A115" s="0" t="n">
        <v>11</v>
      </c>
      <c r="B115" s="0" t="n">
        <v>2.602</v>
      </c>
      <c r="C115" s="0" t="n">
        <v>0.001</v>
      </c>
      <c r="D115" s="0" t="n">
        <f aca="false">0.81*D102</f>
        <v>8.1E-007</v>
      </c>
      <c r="E115" s="0" t="n">
        <f aca="false">0.01*$D$102</f>
        <v>1E-008</v>
      </c>
      <c r="F115" s="7" t="n">
        <f aca="false">B115/D115</f>
        <v>3212345.67901235</v>
      </c>
    </row>
    <row r="116" customFormat="false" ht="14.5" hidden="false" customHeight="false" outlineLevel="0" collapsed="false">
      <c r="A116" s="0" t="n">
        <v>12</v>
      </c>
      <c r="B116" s="0" t="n">
        <v>2.803</v>
      </c>
      <c r="C116" s="0" t="n">
        <v>0.001</v>
      </c>
      <c r="D116" s="0" t="n">
        <f aca="false">0.87*D102</f>
        <v>8.7E-007</v>
      </c>
      <c r="E116" s="0" t="n">
        <f aca="false">0.01*$D$102</f>
        <v>1E-008</v>
      </c>
      <c r="F116" s="7" t="n">
        <f aca="false">B116/D116</f>
        <v>3221839.08045977</v>
      </c>
    </row>
    <row r="117" customFormat="false" ht="14.5" hidden="false" customHeight="false" outlineLevel="0" collapsed="false">
      <c r="A117" s="0" t="n">
        <v>13</v>
      </c>
      <c r="B117" s="0" t="n">
        <v>3.002</v>
      </c>
      <c r="C117" s="0" t="n">
        <v>0.001</v>
      </c>
      <c r="D117" s="0" t="n">
        <f aca="false">0.93*D102</f>
        <v>9.3E-007</v>
      </c>
      <c r="E117" s="0" t="n">
        <f aca="false">0.01*$D$102</f>
        <v>1E-008</v>
      </c>
      <c r="F117" s="7" t="n">
        <f aca="false">B117/D117</f>
        <v>3227956.98924731</v>
      </c>
    </row>
    <row r="118" customFormat="false" ht="14.5" hidden="false" customHeight="false" outlineLevel="0" collapsed="false">
      <c r="A118" s="0" t="n">
        <v>14</v>
      </c>
      <c r="B118" s="0" t="n">
        <v>3.203</v>
      </c>
      <c r="C118" s="0" t="n">
        <v>0.001</v>
      </c>
      <c r="D118" s="0" t="n">
        <f aca="false">0.99*D102</f>
        <v>9.9E-007</v>
      </c>
      <c r="E118" s="0" t="n">
        <f aca="false">0.01*$D$102</f>
        <v>1E-008</v>
      </c>
      <c r="F118" s="7" t="n">
        <f aca="false">B118/D118</f>
        <v>3235353.53535353</v>
      </c>
    </row>
    <row r="119" customFormat="false" ht="14.5" hidden="false" customHeight="false" outlineLevel="0" collapsed="false">
      <c r="A119" s="0" t="n">
        <v>15</v>
      </c>
      <c r="B119" s="0" t="n">
        <v>3.403</v>
      </c>
      <c r="C119" s="0" t="n">
        <v>0.001</v>
      </c>
      <c r="D119" s="0" t="n">
        <f aca="false">1.05*D102</f>
        <v>1.05E-006</v>
      </c>
      <c r="E119" s="0" t="n">
        <f aca="false">0.01*$D$102</f>
        <v>1E-008</v>
      </c>
      <c r="F119" s="7" t="n">
        <f aca="false">B119/D119</f>
        <v>3240952.38095238</v>
      </c>
    </row>
    <row r="120" customFormat="false" ht="14.5" hidden="false" customHeight="false" outlineLevel="0" collapsed="false">
      <c r="A120" s="0" t="n">
        <v>16</v>
      </c>
      <c r="B120" s="0" t="n">
        <v>3.603</v>
      </c>
      <c r="C120" s="0" t="n">
        <v>0.001</v>
      </c>
      <c r="D120" s="0" t="n">
        <f aca="false">1.11*D102</f>
        <v>1.11E-006</v>
      </c>
      <c r="E120" s="0" t="n">
        <f aca="false">0.01*$D$102</f>
        <v>1E-008</v>
      </c>
      <c r="F120" s="7" t="n">
        <f aca="false">B120/D120</f>
        <v>3245945.94594595</v>
      </c>
    </row>
    <row r="121" customFormat="false" ht="14.5" hidden="false" customHeight="false" outlineLevel="0" collapsed="false">
      <c r="A121" s="0" t="n">
        <v>17</v>
      </c>
      <c r="B121" s="0" t="n">
        <v>3.802</v>
      </c>
      <c r="C121" s="0" t="n">
        <v>0.001</v>
      </c>
      <c r="D121" s="0" t="n">
        <f aca="false">1.18*D102</f>
        <v>1.18E-006</v>
      </c>
      <c r="E121" s="0" t="n">
        <f aca="false">0.01*$D$102</f>
        <v>1E-008</v>
      </c>
      <c r="F121" s="7" t="n">
        <f aca="false">B121/D121</f>
        <v>3222033.89830509</v>
      </c>
    </row>
    <row r="122" customFormat="false" ht="14.5" hidden="false" customHeight="false" outlineLevel="0" collapsed="false">
      <c r="A122" s="0" t="n">
        <v>18</v>
      </c>
      <c r="B122" s="0" t="n">
        <v>4.003</v>
      </c>
      <c r="C122" s="0" t="n">
        <v>0.001</v>
      </c>
      <c r="D122" s="0" t="n">
        <f aca="false">1.24*D102</f>
        <v>1.24E-006</v>
      </c>
      <c r="E122" s="0" t="n">
        <f aca="false">0.01*$D$102</f>
        <v>1E-008</v>
      </c>
      <c r="F122" s="7" t="n">
        <f aca="false">B122/D122</f>
        <v>3228225.80645161</v>
      </c>
    </row>
    <row r="123" customFormat="false" ht="14.5" hidden="false" customHeight="false" outlineLevel="0" collapsed="false">
      <c r="A123" s="0" t="n">
        <v>19</v>
      </c>
      <c r="B123" s="0" t="n">
        <v>4.203</v>
      </c>
      <c r="C123" s="0" t="n">
        <v>0.001</v>
      </c>
      <c r="D123" s="0" t="n">
        <f aca="false">1.3*D102</f>
        <v>1.3E-006</v>
      </c>
      <c r="E123" s="0" t="n">
        <f aca="false">0.01*$D$102</f>
        <v>1E-008</v>
      </c>
      <c r="F123" s="7" t="n">
        <f aca="false">B123/D123</f>
        <v>3233076.92307692</v>
      </c>
    </row>
    <row r="124" customFormat="false" ht="14.5" hidden="false" customHeight="false" outlineLevel="0" collapsed="false">
      <c r="A124" s="0" t="n">
        <v>20</v>
      </c>
      <c r="B124" s="0" t="n">
        <v>4.403</v>
      </c>
      <c r="C124" s="0" t="n">
        <v>0.001</v>
      </c>
      <c r="D124" s="0" t="n">
        <f aca="false">1.36*D102</f>
        <v>1.36E-006</v>
      </c>
      <c r="E124" s="0" t="n">
        <f aca="false">0.01*$D$102</f>
        <v>1E-008</v>
      </c>
      <c r="F124" s="7" t="n">
        <f aca="false">B124/D124</f>
        <v>3237500</v>
      </c>
    </row>
    <row r="126" customFormat="false" ht="14.5" hidden="false" customHeight="false" outlineLevel="0" collapsed="false">
      <c r="F126" s="7" t="n">
        <f aca="false">AVERAGE(F105:F124)</f>
        <v>3197363.18046119</v>
      </c>
    </row>
    <row r="127" customFormat="false" ht="14.5" hidden="false" customHeight="false" outlineLevel="0" collapsed="false">
      <c r="F127" s="0" t="n">
        <f aca="false">_xlfn.STDEV.S(F105:F124)</f>
        <v>50101.0561287434</v>
      </c>
    </row>
    <row r="128" customFormat="false" ht="14.5" hidden="false" customHeight="false" outlineLevel="0" collapsed="false">
      <c r="F128" s="0" t="n">
        <f aca="false">F127/SQRT(20)</f>
        <v>11202.9367248403</v>
      </c>
    </row>
    <row r="129" customFormat="false" ht="14.5" hidden="false" customHeight="false" outlineLevel="0" collapsed="false">
      <c r="F129" s="0" t="n">
        <f aca="false">F128/F126</f>
        <v>0.00350380488313009</v>
      </c>
    </row>
    <row r="132" customFormat="false" ht="14.5" hidden="false" customHeight="false" outlineLevel="0" collapsed="false">
      <c r="A132" s="0" t="s">
        <v>38</v>
      </c>
    </row>
    <row r="133" customFormat="false" ht="14.5" hidden="false" customHeight="false" outlineLevel="0" collapsed="false">
      <c r="A133" s="0" t="s">
        <v>35</v>
      </c>
    </row>
    <row r="134" customFormat="false" ht="14.5" hidden="false" customHeight="false" outlineLevel="0" collapsed="false">
      <c r="A134" s="0" t="n">
        <v>33</v>
      </c>
      <c r="B134" s="0" t="s">
        <v>36</v>
      </c>
      <c r="D134" s="0" t="n">
        <f aca="false">10^-3</f>
        <v>0.001</v>
      </c>
    </row>
    <row r="135" customFormat="false" ht="14.5" hidden="false" customHeight="false" outlineLevel="0" collapsed="false">
      <c r="A135" s="0" t="s">
        <v>39</v>
      </c>
    </row>
    <row r="136" customFormat="false" ht="14.5" hidden="false" customHeight="false" outlineLevel="0" collapsed="false">
      <c r="B136" s="6" t="s">
        <v>16</v>
      </c>
      <c r="C136" s="6" t="s">
        <v>23</v>
      </c>
      <c r="D136" s="6" t="s">
        <v>37</v>
      </c>
      <c r="E136" s="6" t="s">
        <v>25</v>
      </c>
      <c r="F136" s="6" t="s">
        <v>26</v>
      </c>
      <c r="G136" s="6" t="s">
        <v>27</v>
      </c>
      <c r="H136" s="6" t="s">
        <v>6</v>
      </c>
      <c r="I136" s="6" t="s">
        <v>6</v>
      </c>
    </row>
    <row r="137" customFormat="false" ht="14.5" hidden="false" customHeight="false" outlineLevel="0" collapsed="false">
      <c r="A137" s="0" t="n">
        <v>1</v>
      </c>
      <c r="B137" s="0" t="n">
        <v>0.476</v>
      </c>
      <c r="C137" s="0" t="n">
        <v>0.001</v>
      </c>
      <c r="D137" s="0" t="n">
        <f aca="false">14.56*D134</f>
        <v>0.01456</v>
      </c>
      <c r="E137" s="0" t="n">
        <f aca="false">0.01*$D$102</f>
        <v>1E-008</v>
      </c>
      <c r="F137" s="4" t="n">
        <f aca="false">B137/D137</f>
        <v>32.6923076923077</v>
      </c>
    </row>
    <row r="138" customFormat="false" ht="14.5" hidden="false" customHeight="false" outlineLevel="0" collapsed="false">
      <c r="A138" s="0" t="n">
        <v>2</v>
      </c>
      <c r="B138" s="0" t="n">
        <v>0.571</v>
      </c>
      <c r="C138" s="0" t="n">
        <v>0.001</v>
      </c>
      <c r="D138" s="0" t="n">
        <f aca="false">17.48*D134</f>
        <v>0.01748</v>
      </c>
      <c r="E138" s="0" t="n">
        <f aca="false">0.01*$D$102</f>
        <v>1E-008</v>
      </c>
      <c r="F138" s="4" t="n">
        <f aca="false">B138/D138</f>
        <v>32.6659038901602</v>
      </c>
    </row>
    <row r="139" customFormat="false" ht="14.5" hidden="false" customHeight="false" outlineLevel="0" collapsed="false">
      <c r="A139" s="0" t="n">
        <v>3</v>
      </c>
      <c r="B139" s="0" t="n">
        <v>0.666</v>
      </c>
      <c r="C139" s="0" t="n">
        <v>0.001</v>
      </c>
      <c r="D139" s="0" t="n">
        <f aca="false">20.39*D134</f>
        <v>0.02039</v>
      </c>
      <c r="E139" s="0" t="n">
        <f aca="false">0.01*$D$102</f>
        <v>1E-008</v>
      </c>
      <c r="F139" s="4" t="n">
        <f aca="false">B139/D139</f>
        <v>32.6630701324178</v>
      </c>
    </row>
    <row r="140" customFormat="false" ht="14.5" hidden="false" customHeight="false" outlineLevel="0" collapsed="false">
      <c r="A140" s="0" t="n">
        <v>4</v>
      </c>
      <c r="B140" s="0" t="n">
        <v>0.761</v>
      </c>
      <c r="C140" s="0" t="n">
        <v>0.001</v>
      </c>
      <c r="D140" s="0" t="n">
        <f aca="false">23.3*D134</f>
        <v>0.0233</v>
      </c>
      <c r="E140" s="0" t="n">
        <f aca="false">0.01*$D$102</f>
        <v>1E-008</v>
      </c>
      <c r="F140" s="4" t="n">
        <f aca="false">B140/D140</f>
        <v>32.6609442060086</v>
      </c>
    </row>
    <row r="141" customFormat="false" ht="14.5" hidden="false" customHeight="false" outlineLevel="0" collapsed="false">
      <c r="A141" s="0" t="n">
        <v>5</v>
      </c>
      <c r="B141" s="0" t="n">
        <v>0.857</v>
      </c>
      <c r="C141" s="0" t="n">
        <v>0.001</v>
      </c>
      <c r="D141" s="0" t="n">
        <f aca="false">26.26*D134</f>
        <v>0.02626</v>
      </c>
      <c r="E141" s="0" t="n">
        <f aca="false">0.01*$D$102</f>
        <v>1E-008</v>
      </c>
      <c r="F141" s="4" t="n">
        <f aca="false">B141/D141</f>
        <v>32.6351865955826</v>
      </c>
    </row>
    <row r="142" customFormat="false" ht="14.5" hidden="false" customHeight="false" outlineLevel="0" collapsed="false">
      <c r="A142" s="0" t="n">
        <v>6</v>
      </c>
      <c r="B142" s="0" t="n">
        <v>0.952</v>
      </c>
      <c r="C142" s="0" t="n">
        <v>0.001</v>
      </c>
      <c r="D142" s="0" t="n">
        <f aca="false">29.18*D134</f>
        <v>0.02918</v>
      </c>
      <c r="E142" s="0" t="n">
        <f aca="false">0.01*$D$102</f>
        <v>1E-008</v>
      </c>
      <c r="F142" s="4" t="n">
        <f aca="false">B142/D142</f>
        <v>32.6250856751199</v>
      </c>
    </row>
    <row r="143" customFormat="false" ht="14.5" hidden="false" customHeight="false" outlineLevel="0" collapsed="false">
      <c r="A143" s="0" t="n">
        <v>7</v>
      </c>
      <c r="B143" s="0" t="n">
        <v>1.047</v>
      </c>
      <c r="C143" s="0" t="n">
        <v>0.001</v>
      </c>
      <c r="D143" s="0" t="n">
        <f aca="false">32.09*D134</f>
        <v>0.03209</v>
      </c>
      <c r="E143" s="0" t="n">
        <f aca="false">0.01*$D$102</f>
        <v>1E-008</v>
      </c>
      <c r="F143" s="4" t="n">
        <f aca="false">B143/D143</f>
        <v>32.626986600187</v>
      </c>
    </row>
    <row r="144" customFormat="false" ht="14.5" hidden="false" customHeight="false" outlineLevel="0" collapsed="false">
      <c r="A144" s="0" t="n">
        <v>8</v>
      </c>
      <c r="B144" s="0" t="n">
        <v>1.142</v>
      </c>
      <c r="C144" s="0" t="n">
        <v>0.001</v>
      </c>
      <c r="D144" s="0" t="n">
        <f aca="false">35.02*D134</f>
        <v>0.03502</v>
      </c>
      <c r="E144" s="0" t="n">
        <f aca="false">0.01*$D$102</f>
        <v>1E-008</v>
      </c>
      <c r="F144" s="4" t="n">
        <f aca="false">B144/D144</f>
        <v>32.609937178755</v>
      </c>
    </row>
    <row r="145" customFormat="false" ht="14.5" hidden="false" customHeight="false" outlineLevel="0" collapsed="false">
      <c r="A145" s="0" t="n">
        <v>9</v>
      </c>
      <c r="B145" s="0" t="n">
        <v>1.237</v>
      </c>
      <c r="C145" s="0" t="n">
        <v>0.001</v>
      </c>
      <c r="D145" s="0" t="n">
        <f aca="false">37.93*D134</f>
        <v>0.03793</v>
      </c>
      <c r="E145" s="0" t="n">
        <f aca="false">0.01*$D$102</f>
        <v>1E-008</v>
      </c>
      <c r="F145" s="4" t="n">
        <f aca="false">B145/D145</f>
        <v>32.6127076192987</v>
      </c>
    </row>
    <row r="146" customFormat="false" ht="14.5" hidden="false" customHeight="false" outlineLevel="0" collapsed="false">
      <c r="A146" s="0" t="n">
        <v>10</v>
      </c>
      <c r="B146" s="0" t="n">
        <v>1.333</v>
      </c>
      <c r="C146" s="0" t="n">
        <v>0.001</v>
      </c>
      <c r="D146" s="0" t="n">
        <f aca="false">40.89*D134</f>
        <v>0.04089</v>
      </c>
      <c r="E146" s="0" t="n">
        <f aca="false">0.01*$D$102</f>
        <v>1E-008</v>
      </c>
      <c r="F146" s="4" t="n">
        <f aca="false">B146/D146</f>
        <v>32.5996576179995</v>
      </c>
    </row>
    <row r="147" customFormat="false" ht="14.5" hidden="false" customHeight="false" outlineLevel="0" collapsed="false">
      <c r="A147" s="0" t="n">
        <v>11</v>
      </c>
      <c r="B147" s="0" t="n">
        <v>1.428</v>
      </c>
      <c r="C147" s="0" t="n">
        <v>0.001</v>
      </c>
      <c r="D147" s="0" t="n">
        <f aca="false">43.81*D134</f>
        <v>0.04381</v>
      </c>
      <c r="E147" s="0" t="n">
        <f aca="false">0.01*$D$102</f>
        <v>1E-008</v>
      </c>
      <c r="F147" s="4" t="n">
        <f aca="false">B147/D147</f>
        <v>32.595297877197</v>
      </c>
    </row>
    <row r="148" customFormat="false" ht="14.5" hidden="false" customHeight="false" outlineLevel="0" collapsed="false">
      <c r="A148" s="0" t="n">
        <v>12</v>
      </c>
      <c r="B148" s="0" t="n">
        <v>1.523</v>
      </c>
      <c r="C148" s="0" t="n">
        <v>0.001</v>
      </c>
      <c r="D148" s="0" t="n">
        <f aca="false">46.73*D134</f>
        <v>0.04673</v>
      </c>
      <c r="E148" s="0" t="n">
        <f aca="false">0.01*$D$102</f>
        <v>1E-008</v>
      </c>
      <c r="F148" s="4" t="n">
        <f aca="false">B148/D148</f>
        <v>32.5914829873743</v>
      </c>
    </row>
    <row r="149" customFormat="false" ht="14.5" hidden="false" customHeight="false" outlineLevel="0" collapsed="false">
      <c r="A149" s="0" t="n">
        <v>13</v>
      </c>
      <c r="B149" s="0" t="n">
        <v>1.618</v>
      </c>
      <c r="C149" s="0" t="n">
        <v>0.001</v>
      </c>
      <c r="D149" s="0" t="n">
        <f aca="false">49.65*D134</f>
        <v>0.04965</v>
      </c>
      <c r="E149" s="0" t="n">
        <f aca="false">0.01*$D$102</f>
        <v>1E-008</v>
      </c>
      <c r="F149" s="4" t="n">
        <f aca="false">B149/D149</f>
        <v>32.5881168177241</v>
      </c>
    </row>
    <row r="150" customFormat="false" ht="14.5" hidden="false" customHeight="false" outlineLevel="0" collapsed="false">
      <c r="A150" s="0" t="n">
        <v>14</v>
      </c>
      <c r="B150" s="0" t="n">
        <v>1.713</v>
      </c>
      <c r="C150" s="0" t="n">
        <v>0.001</v>
      </c>
      <c r="D150" s="0" t="n">
        <f aca="false">52.61*D134</f>
        <v>0.05261</v>
      </c>
      <c r="E150" s="0" t="n">
        <f aca="false">0.01*$D$102</f>
        <v>1E-008</v>
      </c>
      <c r="F150" s="4" t="n">
        <f aca="false">B150/D150</f>
        <v>32.5603497433948</v>
      </c>
    </row>
    <row r="151" customFormat="false" ht="14.5" hidden="false" customHeight="false" outlineLevel="0" collapsed="false">
      <c r="A151" s="0" t="n">
        <v>15</v>
      </c>
      <c r="B151" s="0" t="n">
        <v>1.809</v>
      </c>
      <c r="C151" s="0" t="n">
        <v>0.001</v>
      </c>
      <c r="D151" s="0" t="n">
        <f aca="false">55.54*D134</f>
        <v>0.05554</v>
      </c>
      <c r="E151" s="0" t="n">
        <f aca="false">0.01*$D$102</f>
        <v>1E-008</v>
      </c>
      <c r="F151" s="4" t="n">
        <f aca="false">B151/D151</f>
        <v>32.5711199135758</v>
      </c>
    </row>
    <row r="152" customFormat="false" ht="14.5" hidden="false" customHeight="false" outlineLevel="0" collapsed="false">
      <c r="A152" s="0" t="n">
        <v>16</v>
      </c>
      <c r="B152" s="0" t="n">
        <v>1.904</v>
      </c>
      <c r="C152" s="0" t="n">
        <v>0.001</v>
      </c>
      <c r="D152" s="0" t="n">
        <f aca="false">58.47*D134</f>
        <v>0.05847</v>
      </c>
      <c r="E152" s="0" t="n">
        <f aca="false">0.01*$D$102</f>
        <v>1E-008</v>
      </c>
      <c r="F152" s="4" t="n">
        <f aca="false">B152/D152</f>
        <v>32.5637078843851</v>
      </c>
    </row>
    <row r="153" customFormat="false" ht="14.5" hidden="false" customHeight="false" outlineLevel="0" collapsed="false">
      <c r="A153" s="0" t="n">
        <v>17</v>
      </c>
      <c r="B153" s="0" t="n">
        <v>1.999</v>
      </c>
      <c r="C153" s="0" t="n">
        <v>0.001</v>
      </c>
      <c r="D153" s="0" t="n">
        <f aca="false">61.4*D134</f>
        <v>0.0614</v>
      </c>
      <c r="E153" s="0" t="n">
        <f aca="false">0.01*$D$102</f>
        <v>1E-008</v>
      </c>
      <c r="F153" s="4" t="n">
        <f aca="false">B153/D153</f>
        <v>32.557003257329</v>
      </c>
    </row>
    <row r="154" customFormat="false" ht="14.5" hidden="false" customHeight="false" outlineLevel="0" collapsed="false">
      <c r="A154" s="0" t="n">
        <v>18</v>
      </c>
      <c r="B154" s="0" t="n">
        <v>2.094</v>
      </c>
      <c r="C154" s="0" t="n">
        <v>0.001</v>
      </c>
      <c r="D154" s="0" t="n">
        <f aca="false">64.36*D134</f>
        <v>0.06436</v>
      </c>
      <c r="E154" s="0" t="n">
        <f aca="false">0.01*$D$102</f>
        <v>1E-008</v>
      </c>
      <c r="F154" s="4" t="n">
        <f aca="false">B154/D154</f>
        <v>32.5357364822871</v>
      </c>
    </row>
    <row r="155" customFormat="false" ht="14.5" hidden="false" customHeight="false" outlineLevel="0" collapsed="false">
      <c r="A155" s="0" t="n">
        <v>19</v>
      </c>
      <c r="B155" s="0" t="n">
        <v>2.189</v>
      </c>
      <c r="C155" s="0" t="n">
        <v>0.001</v>
      </c>
      <c r="D155" s="0" t="n">
        <f aca="false">67.27*D134</f>
        <v>0.06727</v>
      </c>
      <c r="E155" s="0" t="n">
        <f aca="false">0.01*$D$102</f>
        <v>1E-008</v>
      </c>
      <c r="F155" s="4" t="n">
        <f aca="false">B155/D155</f>
        <v>32.5405083989892</v>
      </c>
    </row>
    <row r="156" customFormat="false" ht="14.5" hidden="false" customHeight="false" outlineLevel="0" collapsed="false">
      <c r="A156" s="0" t="n">
        <v>20</v>
      </c>
      <c r="B156" s="0" t="n">
        <v>2.283</v>
      </c>
      <c r="C156" s="0" t="n">
        <v>0.001</v>
      </c>
      <c r="D156" s="0" t="n">
        <f aca="false">70.2*D134</f>
        <v>0.0702</v>
      </c>
      <c r="E156" s="0" t="n">
        <f aca="false">0.01*$D$102</f>
        <v>1E-008</v>
      </c>
      <c r="F156" s="4" t="n">
        <f aca="false">B156/D156</f>
        <v>32.5213675213675</v>
      </c>
    </row>
    <row r="157" customFormat="false" ht="14.5" hidden="false" customHeight="false" outlineLevel="0" collapsed="false">
      <c r="A157" s="0" t="s">
        <v>40</v>
      </c>
    </row>
    <row r="158" customFormat="false" ht="14.5" hidden="false" customHeight="false" outlineLevel="0" collapsed="false">
      <c r="F158" s="7" t="n">
        <f aca="false">AVERAGE(F137:F156)</f>
        <v>32.600823904573</v>
      </c>
    </row>
    <row r="159" customFormat="false" ht="14.5" hidden="false" customHeight="false" outlineLevel="0" collapsed="false">
      <c r="F159" s="0" t="n">
        <f aca="false">_xlfn.STDEV.S(F137:F156)</f>
        <v>0.0476050213284188</v>
      </c>
    </row>
    <row r="160" customFormat="false" ht="14.5" hidden="false" customHeight="false" outlineLevel="0" collapsed="false">
      <c r="F160" s="0" t="n">
        <f aca="false">F159/SQRT(20)</f>
        <v>0.0106448063760672</v>
      </c>
    </row>
    <row r="161" customFormat="false" ht="14.5" hidden="false" customHeight="false" outlineLevel="0" collapsed="false">
      <c r="F161" s="0" t="n">
        <f aca="false">F160/F158</f>
        <v>0.000326519550770433</v>
      </c>
    </row>
  </sheetData>
  <mergeCells count="1">
    <mergeCell ref="S3:T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5" colorId="64" zoomScale="67" zoomScaleNormal="67" zoomScalePageLayoutView="100" workbookViewId="0">
      <selection pane="topLeft" activeCell="K8" activeCellId="0" sqref="K8"/>
    </sheetView>
  </sheetViews>
  <sheetFormatPr defaultRowHeight="14.5" zeroHeight="false" outlineLevelRow="0" outlineLevelCol="0"/>
  <cols>
    <col collapsed="false" customWidth="true" hidden="false" outlineLevel="0" max="3" min="1" style="0" width="8.36"/>
    <col collapsed="false" customWidth="true" hidden="false" outlineLevel="0" max="5" min="4" style="0" width="9.82"/>
    <col collapsed="false" customWidth="true" hidden="false" outlineLevel="0" max="7" min="6" style="0" width="8.36"/>
    <col collapsed="false" customWidth="true" hidden="false" outlineLevel="0" max="8" min="8" style="0" width="10.82"/>
    <col collapsed="false" customWidth="true" hidden="false" outlineLevel="0" max="1025" min="9" style="0" width="8.36"/>
  </cols>
  <sheetData>
    <row r="1" customFormat="false" ht="14.5" hidden="false" customHeight="false" outlineLevel="0" collapsed="false">
      <c r="E1" s="0" t="s">
        <v>16</v>
      </c>
      <c r="F1" s="0" t="s">
        <v>17</v>
      </c>
      <c r="G1" s="0" t="s">
        <v>6</v>
      </c>
    </row>
    <row r="2" customFormat="false" ht="14.5" hidden="false" customHeight="false" outlineLevel="0" collapsed="false">
      <c r="E2" s="0" t="n">
        <v>1</v>
      </c>
      <c r="F2" s="0" t="n">
        <v>0.912</v>
      </c>
      <c r="G2" s="0" t="n">
        <v>1.096491228</v>
      </c>
    </row>
    <row r="3" customFormat="false" ht="14.5" hidden="false" customHeight="false" outlineLevel="0" collapsed="false">
      <c r="E3" s="0" t="n">
        <v>2</v>
      </c>
      <c r="F3" s="0" t="n">
        <v>1.824</v>
      </c>
      <c r="G3" s="0" t="n">
        <v>1.096491228</v>
      </c>
      <c r="I3" s="0" t="s">
        <v>21</v>
      </c>
    </row>
    <row r="4" customFormat="false" ht="14.5" hidden="false" customHeight="false" outlineLevel="0" collapsed="false">
      <c r="B4" s="5" t="str">
        <f aca="false">Rvoltmetro!E52</f>
        <v>Rmedia (Ohm)</v>
      </c>
      <c r="E4" s="0" t="n">
        <v>3</v>
      </c>
      <c r="F4" s="0" t="n">
        <v>2.735</v>
      </c>
      <c r="G4" s="0" t="n">
        <v>1.096892139</v>
      </c>
      <c r="I4" s="0" t="n">
        <f aca="false">1.096624865*10^3</f>
        <v>1096.624865</v>
      </c>
    </row>
    <row r="7" customFormat="false" ht="14.5" hidden="false" customHeight="false" outlineLevel="0" collapsed="false">
      <c r="B7" s="0" t="s">
        <v>16</v>
      </c>
      <c r="C7" s="0" t="s">
        <v>23</v>
      </c>
      <c r="D7" s="0" t="s">
        <v>37</v>
      </c>
      <c r="E7" s="0" t="s">
        <v>25</v>
      </c>
      <c r="F7" s="6" t="s">
        <v>26</v>
      </c>
      <c r="G7" s="6" t="s">
        <v>27</v>
      </c>
      <c r="H7" s="6" t="s">
        <v>41</v>
      </c>
      <c r="I7" s="6" t="s">
        <v>29</v>
      </c>
      <c r="K7" s="6" t="s">
        <v>42</v>
      </c>
    </row>
    <row r="8" customFormat="false" ht="14.5" hidden="false" customHeight="false" outlineLevel="0" collapsed="false">
      <c r="A8" s="0" t="n">
        <v>1</v>
      </c>
      <c r="B8" s="4" t="n">
        <v>0.102</v>
      </c>
      <c r="C8" s="0" t="n">
        <v>0.001</v>
      </c>
      <c r="D8" s="0" t="n">
        <f aca="false">92.1*10^(-6)</f>
        <v>9.21E-005</v>
      </c>
      <c r="E8" s="0" t="n">
        <f aca="false">0.1*10^-6</f>
        <v>1E-007</v>
      </c>
      <c r="F8" s="0" t="n">
        <f aca="false">B8/D8</f>
        <v>1107.49185667752</v>
      </c>
      <c r="G8" s="0" t="n">
        <f aca="false">SQRT((C8/D8)^2+(B8*E8/D8^2)^2)</f>
        <v>10.9241476716786</v>
      </c>
      <c r="H8" s="0" t="n">
        <f aca="false">F8-$I$4</f>
        <v>10.8669916775245</v>
      </c>
    </row>
    <row r="9" customFormat="false" ht="14.5" hidden="false" customHeight="false" outlineLevel="0" collapsed="false">
      <c r="A9" s="0" t="n">
        <v>2</v>
      </c>
      <c r="B9" s="4" t="n">
        <v>0.501</v>
      </c>
      <c r="C9" s="0" t="n">
        <v>0.001</v>
      </c>
      <c r="D9" s="0" t="n">
        <f aca="false">456.6*10^(-6)</f>
        <v>0.0004566</v>
      </c>
      <c r="E9" s="0" t="n">
        <f aca="false">0.1*10^-6</f>
        <v>1E-007</v>
      </c>
      <c r="F9" s="0" t="n">
        <f aca="false">B9/D9</f>
        <v>1097.24047306176</v>
      </c>
      <c r="G9" s="0" t="n">
        <f aca="false">SQRT((C9/D9)^2+(B9*E9/D9^2)^2)</f>
        <v>2.2032450136614</v>
      </c>
      <c r="H9" s="0" t="n">
        <f aca="false">F9-$I$4</f>
        <v>0.615608061760895</v>
      </c>
    </row>
    <row r="10" customFormat="false" ht="14.5" hidden="false" customHeight="false" outlineLevel="0" collapsed="false">
      <c r="A10" s="0" t="n">
        <v>3</v>
      </c>
      <c r="B10" s="4" t="n">
        <v>1.001</v>
      </c>
      <c r="C10" s="0" t="n">
        <v>0.001</v>
      </c>
      <c r="D10" s="0" t="n">
        <f aca="false">0.9122*10^-3</f>
        <v>0.0009122</v>
      </c>
      <c r="E10" s="0" t="n">
        <f aca="false">0.1*10^-6</f>
        <v>1E-007</v>
      </c>
      <c r="F10" s="0" t="n">
        <f aca="false">B10/D10</f>
        <v>1097.3470730103</v>
      </c>
      <c r="G10" s="0" t="n">
        <f aca="false">SQRT((C10/D10)^2+(B10*E10/D10^2)^2)</f>
        <v>1.10283143605937</v>
      </c>
      <c r="H10" s="0" t="n">
        <f aca="false">F10-$I$4</f>
        <v>0.722208010304485</v>
      </c>
    </row>
    <row r="11" customFormat="false" ht="14.5" hidden="false" customHeight="false" outlineLevel="0" collapsed="false">
      <c r="A11" s="0" t="n">
        <v>4</v>
      </c>
      <c r="B11" s="4" t="n">
        <v>1.501</v>
      </c>
      <c r="C11" s="0" t="n">
        <v>0.001</v>
      </c>
      <c r="D11" s="0" t="n">
        <f aca="false">1.368*10^-3</f>
        <v>0.001368</v>
      </c>
      <c r="E11" s="0" t="n">
        <f aca="false">0.1*10^-6</f>
        <v>1E-007</v>
      </c>
      <c r="F11" s="0" t="n">
        <f aca="false">B11/D11</f>
        <v>1097.22222222222</v>
      </c>
      <c r="G11" s="0" t="n">
        <f aca="false">SQRT((C11/D11)^2+(B11*E11/D11^2)^2)</f>
        <v>0.735381194574952</v>
      </c>
      <c r="H11" s="0" t="n">
        <f aca="false">F11-$I$4</f>
        <v>0.597357222222172</v>
      </c>
    </row>
    <row r="12" customFormat="false" ht="14.5" hidden="false" customHeight="false" outlineLevel="0" collapsed="false">
      <c r="A12" s="0" t="n">
        <v>5</v>
      </c>
      <c r="B12" s="4" t="n">
        <v>2.001</v>
      </c>
      <c r="C12" s="0" t="n">
        <v>0.001</v>
      </c>
      <c r="D12" s="0" t="n">
        <f aca="false">1.824*10^-3</f>
        <v>0.001824</v>
      </c>
      <c r="E12" s="0" t="n">
        <f aca="false">0.1*10^-6</f>
        <v>1E-007</v>
      </c>
      <c r="F12" s="0" t="n">
        <f aca="false">B12/D12</f>
        <v>1097.03947368421</v>
      </c>
      <c r="G12" s="0" t="n">
        <f aca="false">SQRT((C12/D12)^2+(B12*E12/D12^2)^2)</f>
        <v>0.551534803260466</v>
      </c>
      <c r="H12" s="0" t="n">
        <f aca="false">F12-$I$4</f>
        <v>0.414608684210407</v>
      </c>
    </row>
    <row r="15" customFormat="false" ht="14.5" hidden="false" customHeight="false" outlineLevel="0" collapsed="false">
      <c r="A15" s="0" t="s">
        <v>43</v>
      </c>
    </row>
    <row r="16" customFormat="false" ht="14.5" hidden="false" customHeight="false" outlineLevel="0" collapsed="false">
      <c r="A16" s="0" t="s">
        <v>44</v>
      </c>
    </row>
    <row r="19" customFormat="false" ht="14.5" hidden="false" customHeight="false" outlineLevel="0" collapsed="false">
      <c r="E19" s="0" t="s">
        <v>21</v>
      </c>
    </row>
    <row r="20" customFormat="false" ht="14.5" hidden="false" customHeight="false" outlineLevel="0" collapsed="false">
      <c r="E20" s="0" t="n">
        <v>260</v>
      </c>
    </row>
    <row r="23" customFormat="false" ht="14.5" hidden="false" customHeight="false" outlineLevel="0" collapsed="false">
      <c r="B23" s="0" t="s">
        <v>16</v>
      </c>
      <c r="C23" s="0" t="s">
        <v>23</v>
      </c>
      <c r="D23" s="0" t="s">
        <v>37</v>
      </c>
      <c r="E23" s="0" t="s">
        <v>25</v>
      </c>
      <c r="F23" s="6" t="s">
        <v>26</v>
      </c>
      <c r="G23" s="6" t="s">
        <v>27</v>
      </c>
      <c r="H23" s="6" t="s">
        <v>41</v>
      </c>
      <c r="I23" s="6" t="s">
        <v>29</v>
      </c>
    </row>
    <row r="24" customFormat="false" ht="14.5" hidden="false" customHeight="false" outlineLevel="0" collapsed="false">
      <c r="A24" s="0" t="n">
        <v>1</v>
      </c>
      <c r="B24" s="4" t="n">
        <v>1</v>
      </c>
      <c r="C24" s="0" t="n">
        <v>0.001</v>
      </c>
      <c r="D24" s="0" t="n">
        <f aca="false">2.728*10^-3</f>
        <v>0.002728</v>
      </c>
      <c r="E24" s="0" t="n">
        <f aca="false">0.1*10^-6</f>
        <v>1E-007</v>
      </c>
      <c r="F24" s="0" t="n">
        <f aca="false">B24/D24</f>
        <v>366.568914956012</v>
      </c>
      <c r="G24" s="0" t="n">
        <f aca="false">SQRT((C24/D24)^2+(B24*E24/D24^2)^2)</f>
        <v>0.366815116678174</v>
      </c>
      <c r="H24" s="0" t="n">
        <f aca="false">F24-$E$20</f>
        <v>106.568914956012</v>
      </c>
    </row>
    <row r="25" customFormat="false" ht="14.5" hidden="false" customHeight="false" outlineLevel="0" collapsed="false">
      <c r="A25" s="0" t="n">
        <v>2</v>
      </c>
      <c r="B25" s="4" t="n">
        <v>1.499</v>
      </c>
      <c r="C25" s="0" t="n">
        <v>0.001</v>
      </c>
      <c r="D25" s="0" t="n">
        <f aca="false">4.091*10^-3</f>
        <v>0.004091</v>
      </c>
      <c r="E25" s="0" t="n">
        <f aca="false">0.1*10^-6</f>
        <v>1E-007</v>
      </c>
      <c r="F25" s="0" t="n">
        <f aca="false">B25/D25</f>
        <v>366.414079687118</v>
      </c>
      <c r="G25" s="0" t="n">
        <f aca="false">SQRT((C25/D25)^2+(B25*E25/D25^2)^2)</f>
        <v>0.244603048452866</v>
      </c>
      <c r="H25" s="0" t="n">
        <f aca="false">F25-$E$20</f>
        <v>106.414079687118</v>
      </c>
    </row>
    <row r="26" customFormat="false" ht="14.5" hidden="false" customHeight="false" outlineLevel="0" collapsed="false">
      <c r="A26" s="0" t="n">
        <v>3</v>
      </c>
      <c r="B26" s="4"/>
      <c r="C26" s="0" t="n">
        <v>0.001</v>
      </c>
      <c r="E26" s="0" t="n">
        <f aca="false">0.1*10^-6</f>
        <v>1E-007</v>
      </c>
      <c r="F26" s="0" t="e">
        <f aca="false">B26/D26</f>
        <v>#DIV/0!</v>
      </c>
      <c r="G26" s="0" t="e">
        <f aca="false">SQRT((C26/D26)^2+(B26*E26/D26^2)^2)</f>
        <v>#DIV/0!</v>
      </c>
      <c r="H26" s="0" t="e">
        <f aca="false">F26-$E$20</f>
        <v>#DIV/0!</v>
      </c>
    </row>
    <row r="27" customFormat="false" ht="14.5" hidden="false" customHeight="false" outlineLevel="0" collapsed="false">
      <c r="A27" s="0" t="n">
        <v>4</v>
      </c>
      <c r="B27" s="4"/>
      <c r="C27" s="0" t="n">
        <v>0.001</v>
      </c>
      <c r="E27" s="0" t="n">
        <f aca="false">0.1*10^-6</f>
        <v>1E-007</v>
      </c>
      <c r="F27" s="0" t="e">
        <f aca="false">B27/D27</f>
        <v>#DIV/0!</v>
      </c>
      <c r="G27" s="0" t="e">
        <f aca="false">SQRT((C27/D27)^2+(B27*E27/D27^2)^2)</f>
        <v>#DIV/0!</v>
      </c>
      <c r="H27" s="0" t="e">
        <f aca="false">F27-$E$20</f>
        <v>#DIV/0!</v>
      </c>
    </row>
    <row r="28" customFormat="false" ht="14.5" hidden="false" customHeight="false" outlineLevel="0" collapsed="false">
      <c r="A28" s="0" t="n">
        <v>5</v>
      </c>
      <c r="B28" s="4"/>
      <c r="C28" s="0" t="n">
        <v>0.001</v>
      </c>
      <c r="E28" s="0" t="n">
        <f aca="false">0.1*10^-6</f>
        <v>1E-007</v>
      </c>
      <c r="F28" s="0" t="e">
        <f aca="false">B28/D28</f>
        <v>#DIV/0!</v>
      </c>
      <c r="G28" s="0" t="e">
        <f aca="false">SQRT((C28/D28)^2+(B28*E28/D28^2)^2)</f>
        <v>#DIV/0!</v>
      </c>
      <c r="H28" s="0" t="e">
        <f aca="false">F28-$E$20</f>
        <v>#DIV/0!</v>
      </c>
    </row>
    <row r="30" customFormat="false" ht="14.5" hidden="false" customHeight="false" outlineLevel="0" collapsed="false">
      <c r="A30" s="0" t="s">
        <v>45</v>
      </c>
    </row>
    <row r="32" customFormat="false" ht="14.5" hidden="false" customHeight="false" outlineLevel="0" collapsed="false">
      <c r="E32" s="0" t="s">
        <v>21</v>
      </c>
    </row>
    <row r="33" customFormat="false" ht="14.5" hidden="false" customHeight="false" outlineLevel="0" collapsed="false">
      <c r="E33" s="0" t="n">
        <v>33</v>
      </c>
      <c r="G33" s="0" t="s">
        <v>46</v>
      </c>
    </row>
    <row r="36" customFormat="false" ht="14.5" hidden="false" customHeight="false" outlineLevel="0" collapsed="false">
      <c r="B36" s="0" t="s">
        <v>16</v>
      </c>
      <c r="C36" s="0" t="s">
        <v>23</v>
      </c>
      <c r="D36" s="0" t="s">
        <v>37</v>
      </c>
      <c r="E36" s="0" t="s">
        <v>25</v>
      </c>
      <c r="F36" s="6" t="s">
        <v>26</v>
      </c>
      <c r="G36" s="6" t="s">
        <v>27</v>
      </c>
      <c r="H36" s="6" t="s">
        <v>41</v>
      </c>
      <c r="I36" s="6" t="s">
        <v>29</v>
      </c>
    </row>
    <row r="37" customFormat="false" ht="14.5" hidden="false" customHeight="false" outlineLevel="0" collapsed="false">
      <c r="A37" s="0" t="n">
        <v>1</v>
      </c>
      <c r="B37" s="4" t="n">
        <v>0.979</v>
      </c>
      <c r="C37" s="0" t="n">
        <v>0.001</v>
      </c>
      <c r="D37" s="0" t="n">
        <f aca="false">28.534*10^-3</f>
        <v>0.028534</v>
      </c>
      <c r="E37" s="0" t="n">
        <f aca="false">0.1*10^-6</f>
        <v>1E-007</v>
      </c>
      <c r="F37" s="0" t="n">
        <f aca="false">B37/D37</f>
        <v>34.3099460292984</v>
      </c>
      <c r="G37" s="0" t="n">
        <f aca="false">SQRT((C37/D37)^2+(B37*E37/D37^2)^2)</f>
        <v>0.0350461164170695</v>
      </c>
      <c r="H37" s="0" t="n">
        <f aca="false">F37-$E$33</f>
        <v>1.30994602929838</v>
      </c>
    </row>
    <row r="38" customFormat="false" ht="14.5" hidden="false" customHeight="false" outlineLevel="0" collapsed="false">
      <c r="A38" s="0" t="n">
        <v>2</v>
      </c>
      <c r="B38" s="4" t="n">
        <v>1.468</v>
      </c>
      <c r="C38" s="0" t="n">
        <v>0.001</v>
      </c>
      <c r="D38" s="0" t="n">
        <f aca="false">42.97*10^-3</f>
        <v>0.04297</v>
      </c>
      <c r="E38" s="0" t="n">
        <f aca="false">0.1*10^-6</f>
        <v>1E-007</v>
      </c>
      <c r="F38" s="0" t="n">
        <f aca="false">B38/D38</f>
        <v>34.1633697928788</v>
      </c>
      <c r="G38" s="0" t="n">
        <f aca="false">SQRT((C38/D38)^2+(B38*E38/D38^2)^2)</f>
        <v>0.0232721860754515</v>
      </c>
      <c r="H38" s="0" t="n">
        <f aca="false">F38-$E$33</f>
        <v>1.16336979287875</v>
      </c>
    </row>
    <row r="39" customFormat="false" ht="14.5" hidden="false" customHeight="false" outlineLevel="0" collapsed="false">
      <c r="A39" s="0" t="n">
        <v>3</v>
      </c>
      <c r="B39" s="4" t="n">
        <v>1.956</v>
      </c>
      <c r="C39" s="0" t="n">
        <v>0.001</v>
      </c>
      <c r="D39" s="0" t="n">
        <f aca="false">57.34*10^-3</f>
        <v>0.05734</v>
      </c>
      <c r="E39" s="0" t="n">
        <f aca="false">0.1*10^-6</f>
        <v>1E-007</v>
      </c>
      <c r="F39" s="0" t="n">
        <f aca="false">B39/D39</f>
        <v>34.1123125217998</v>
      </c>
      <c r="G39" s="0" t="n">
        <f aca="false">SQRT((C39/D39)^2+(B39*E39/D39^2)^2)</f>
        <v>0.0174399340466062</v>
      </c>
      <c r="H39" s="0" t="n">
        <f aca="false">F39-$E$33</f>
        <v>1.11231252179979</v>
      </c>
    </row>
    <row r="40" customFormat="false" ht="14.5" hidden="false" customHeight="false" outlineLevel="0" collapsed="false">
      <c r="A40" s="0" t="n">
        <v>4</v>
      </c>
      <c r="B40" s="4" t="n">
        <v>2.445</v>
      </c>
      <c r="C40" s="0" t="n">
        <v>0.001</v>
      </c>
      <c r="D40" s="0" t="n">
        <f aca="false">71.77*10^-3</f>
        <v>0.07177</v>
      </c>
      <c r="E40" s="0" t="n">
        <f aca="false">0.1*10^-6</f>
        <v>1E-007</v>
      </c>
      <c r="F40" s="0" t="n">
        <f aca="false">B40/D40</f>
        <v>34.0671589800752</v>
      </c>
      <c r="G40" s="0" t="n">
        <f aca="false">SQRT((C40/D40)^2+(B40*E40/D40^2)^2)</f>
        <v>0.0139334792091371</v>
      </c>
      <c r="H40" s="0" t="n">
        <f aca="false">F40-$E$33</f>
        <v>1.06715898007523</v>
      </c>
    </row>
    <row r="41" customFormat="false" ht="14.5" hidden="false" customHeight="false" outlineLevel="0" collapsed="false">
      <c r="A41" s="0" t="n">
        <v>5</v>
      </c>
      <c r="B41" s="4" t="n">
        <v>2.933</v>
      </c>
      <c r="C41" s="0" t="n">
        <v>0.001</v>
      </c>
      <c r="D41" s="0" t="n">
        <f aca="false">86.19*10^-3</f>
        <v>0.08619</v>
      </c>
      <c r="E41" s="0" t="n">
        <f aca="false">0.1*10^-6</f>
        <v>1E-007</v>
      </c>
      <c r="F41" s="0" t="n">
        <f aca="false">B41/D41</f>
        <v>34.0294697760761</v>
      </c>
      <c r="G41" s="0" t="n">
        <f aca="false">SQRT((C41/D41)^2+(B41*E41/D41^2)^2)</f>
        <v>0.0116023412229644</v>
      </c>
      <c r="H41" s="0" t="n">
        <f aca="false">F41-$E$33</f>
        <v>1.02946977607611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56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B3" activeCellId="0" sqref="B3"/>
    </sheetView>
  </sheetViews>
  <sheetFormatPr defaultRowHeight="14.5" zeroHeight="false" outlineLevelRow="0" outlineLevelCol="0"/>
  <cols>
    <col collapsed="false" customWidth="true" hidden="false" outlineLevel="0" max="3" min="1" style="0" width="8.36"/>
    <col collapsed="false" customWidth="true" hidden="false" outlineLevel="0" max="4" min="4" style="0" width="11.17"/>
    <col collapsed="false" customWidth="true" hidden="false" outlineLevel="0" max="1025" min="5" style="0" width="8.36"/>
  </cols>
  <sheetData>
    <row r="3" customFormat="false" ht="14.5" hidden="false" customHeight="false" outlineLevel="0" collapsed="false">
      <c r="B3" s="0" t="s">
        <v>47</v>
      </c>
      <c r="G3" s="0" t="n">
        <f aca="false">10^-3</f>
        <v>0.001</v>
      </c>
    </row>
    <row r="4" customFormat="false" ht="14.5" hidden="false" customHeight="false" outlineLevel="0" collapsed="false">
      <c r="B4" s="0" t="s">
        <v>48</v>
      </c>
    </row>
    <row r="6" customFormat="false" ht="14.5" hidden="false" customHeight="false" outlineLevel="0" collapsed="false">
      <c r="A6" s="0" t="s">
        <v>49</v>
      </c>
      <c r="B6" s="0" t="s">
        <v>50</v>
      </c>
      <c r="C6" s="0" t="s">
        <v>51</v>
      </c>
      <c r="E6" s="0" t="s">
        <v>16</v>
      </c>
      <c r="F6" s="0" t="s">
        <v>52</v>
      </c>
      <c r="G6" s="0" t="s">
        <v>53</v>
      </c>
      <c r="H6" s="0" t="s">
        <v>5</v>
      </c>
      <c r="I6" s="0" t="s">
        <v>26</v>
      </c>
      <c r="J6" s="0" t="s">
        <v>27</v>
      </c>
    </row>
    <row r="7" customFormat="false" ht="14.5" hidden="false" customHeight="false" outlineLevel="0" collapsed="false">
      <c r="A7" s="0" t="n">
        <v>330</v>
      </c>
      <c r="B7" s="0" t="n">
        <v>270</v>
      </c>
      <c r="C7" s="0" t="n">
        <f aca="false">A7*B7/(A7+B7)</f>
        <v>148.5</v>
      </c>
      <c r="D7" s="0" t="n">
        <v>1</v>
      </c>
      <c r="E7" s="0" t="n">
        <v>1.484</v>
      </c>
      <c r="G7" s="0" t="n">
        <f aca="false">G3*10.09</f>
        <v>0.01009</v>
      </c>
      <c r="I7" s="0" t="n">
        <f aca="false">E7/G7</f>
        <v>147.076313181368</v>
      </c>
    </row>
    <row r="8" customFormat="false" ht="14.5" hidden="false" customHeight="false" outlineLevel="0" collapsed="false">
      <c r="D8" s="0" t="n">
        <v>2</v>
      </c>
      <c r="E8" s="0" t="n">
        <v>1.978</v>
      </c>
      <c r="G8" s="0" t="n">
        <f aca="false">13.456*G3</f>
        <v>0.013456</v>
      </c>
      <c r="I8" s="0" t="n">
        <f aca="false">E8/G8</f>
        <v>146.997621878716</v>
      </c>
    </row>
    <row r="9" customFormat="false" ht="14.5" hidden="false" customHeight="false" outlineLevel="0" collapsed="false">
      <c r="D9" s="0" t="n">
        <v>3</v>
      </c>
      <c r="E9" s="0" t="n">
        <v>2.472</v>
      </c>
      <c r="G9" s="0" t="n">
        <f aca="false">16.83*G3</f>
        <v>0.01683</v>
      </c>
      <c r="I9" s="0" t="n">
        <f aca="false">E9/G9</f>
        <v>146.880570409982</v>
      </c>
    </row>
    <row r="10" customFormat="false" ht="14.5" hidden="false" customHeight="false" outlineLevel="0" collapsed="false">
      <c r="D10" s="0" t="n">
        <v>4</v>
      </c>
      <c r="E10" s="0" t="n">
        <v>2.671</v>
      </c>
      <c r="G10" s="0" t="n">
        <f aca="false">18.18*G3</f>
        <v>0.01818</v>
      </c>
      <c r="I10" s="0" t="n">
        <f aca="false">E10/G10</f>
        <v>146.919691969197</v>
      </c>
    </row>
    <row r="11" customFormat="false" ht="14.5" hidden="false" customHeight="false" outlineLevel="0" collapsed="false">
      <c r="D11" s="0" t="n">
        <v>5</v>
      </c>
      <c r="E11" s="0" t="n">
        <v>2.868</v>
      </c>
      <c r="G11" s="0" t="n">
        <f aca="false">19.53*G3</f>
        <v>0.01953</v>
      </c>
      <c r="I11" s="0" t="n">
        <f aca="false">E11/G11</f>
        <v>146.850998463902</v>
      </c>
    </row>
    <row r="12" customFormat="false" ht="14.5" hidden="false" customHeight="false" outlineLevel="0" collapsed="false">
      <c r="D12" s="0" t="n">
        <v>6</v>
      </c>
      <c r="E12" s="0" t="n">
        <v>3.165</v>
      </c>
      <c r="G12" s="0" t="n">
        <f aca="false">21.55*G3</f>
        <v>0.02155</v>
      </c>
      <c r="I12" s="0" t="n">
        <f aca="false">E12/G12</f>
        <v>146.867749419954</v>
      </c>
    </row>
    <row r="13" customFormat="false" ht="14.5" hidden="false" customHeight="false" outlineLevel="0" collapsed="false">
      <c r="D13" s="0" t="n">
        <v>7</v>
      </c>
      <c r="E13" s="0" t="n">
        <v>3.363</v>
      </c>
      <c r="G13" s="0" t="n">
        <f aca="false">22.9*G3</f>
        <v>0.0229</v>
      </c>
      <c r="I13" s="0" t="n">
        <f aca="false">E13/G13</f>
        <v>146.855895196507</v>
      </c>
    </row>
    <row r="14" customFormat="false" ht="14.5" hidden="false" customHeight="false" outlineLevel="0" collapsed="false">
      <c r="D14" s="0" t="n">
        <v>8</v>
      </c>
      <c r="E14" s="0" t="n">
        <v>3.561</v>
      </c>
      <c r="G14" s="0" t="n">
        <f aca="false">24.26*G3</f>
        <v>0.02426</v>
      </c>
      <c r="I14" s="0" t="n">
        <f aca="false">E14/G14</f>
        <v>146.784830997527</v>
      </c>
    </row>
    <row r="15" customFormat="false" ht="14.5" hidden="false" customHeight="false" outlineLevel="0" collapsed="false">
      <c r="D15" s="0" t="n">
        <v>9</v>
      </c>
      <c r="E15" s="0" t="n">
        <v>3.758</v>
      </c>
      <c r="G15" s="0" t="n">
        <f aca="false">25.61*G3</f>
        <v>0.02561</v>
      </c>
      <c r="I15" s="0" t="n">
        <f aca="false">E15/G15</f>
        <v>146.739554861382</v>
      </c>
    </row>
    <row r="16" customFormat="false" ht="14.5" hidden="false" customHeight="false" outlineLevel="0" collapsed="false">
      <c r="D16" s="0" t="n">
        <v>10</v>
      </c>
      <c r="E16" s="0" t="n">
        <v>3.956</v>
      </c>
      <c r="G16" s="0" t="n">
        <f aca="false">26.97*G3</f>
        <v>0.02697</v>
      </c>
      <c r="I16" s="0" t="n">
        <f aca="false">E16/G16</f>
        <v>146.681497960697</v>
      </c>
    </row>
    <row r="17" customFormat="false" ht="14.5" hidden="false" customHeight="false" outlineLevel="0" collapsed="false">
      <c r="D17" s="0" t="n">
        <v>11</v>
      </c>
      <c r="E17" s="0" t="n">
        <v>4.153</v>
      </c>
      <c r="G17" s="0" t="n">
        <f aca="false">28.32*G3</f>
        <v>0.02832</v>
      </c>
      <c r="I17" s="0" t="n">
        <f aca="false">E17/G17</f>
        <v>146.645480225989</v>
      </c>
    </row>
    <row r="18" customFormat="false" ht="14.5" hidden="false" customHeight="false" outlineLevel="0" collapsed="false">
      <c r="D18" s="0" t="n">
        <v>12</v>
      </c>
      <c r="E18" s="0" t="n">
        <v>4.352</v>
      </c>
      <c r="G18" s="0" t="n">
        <f aca="false">29.68*G3</f>
        <v>0.02968</v>
      </c>
      <c r="I18" s="0" t="n">
        <f aca="false">E18/G18</f>
        <v>146.630727762803</v>
      </c>
    </row>
    <row r="20" customFormat="false" ht="14.5" hidden="false" customHeight="false" outlineLevel="0" collapsed="false">
      <c r="H20" s="0" t="s">
        <v>11</v>
      </c>
      <c r="I20" s="0" t="n">
        <f aca="false">AVERAGE(I7:I18)</f>
        <v>146.827577694002</v>
      </c>
    </row>
    <row r="21" customFormat="false" ht="14.5" hidden="false" customHeight="false" outlineLevel="0" collapsed="false">
      <c r="H21" s="0" t="s">
        <v>54</v>
      </c>
      <c r="I21" s="0" t="n">
        <f aca="false">_xlfn.STDEV.S(I7:I18)</f>
        <v>0.137465958405111</v>
      </c>
    </row>
    <row r="22" customFormat="false" ht="14.5" hidden="false" customHeight="false" outlineLevel="0" collapsed="false">
      <c r="H22" s="0" t="s">
        <v>55</v>
      </c>
      <c r="I22" s="0" t="n">
        <f aca="false">I21/SQRT(12)</f>
        <v>0.0396830040448002</v>
      </c>
    </row>
    <row r="25" customFormat="false" ht="14.5" hidden="false" customHeight="false" outlineLevel="0" collapsed="false">
      <c r="A25" s="0" t="s">
        <v>56</v>
      </c>
    </row>
    <row r="26" customFormat="false" ht="14.5" hidden="false" customHeight="false" outlineLevel="0" collapsed="false">
      <c r="A26" s="0" t="s">
        <v>49</v>
      </c>
      <c r="B26" s="0" t="n">
        <f aca="false">33*10^5</f>
        <v>3300000</v>
      </c>
    </row>
    <row r="27" customFormat="false" ht="14.5" hidden="false" customHeight="false" outlineLevel="0" collapsed="false">
      <c r="A27" s="0" t="s">
        <v>50</v>
      </c>
      <c r="B27" s="0" t="n">
        <f aca="false">15*10^4</f>
        <v>150000</v>
      </c>
      <c r="D27" s="0" t="n">
        <f aca="false">10^-6</f>
        <v>1E-006</v>
      </c>
    </row>
    <row r="29" customFormat="false" ht="14.5" hidden="false" customHeight="false" outlineLevel="0" collapsed="false">
      <c r="A29" s="0" t="s">
        <v>57</v>
      </c>
      <c r="B29" s="0" t="n">
        <f aca="false">B27+B26</f>
        <v>3450000</v>
      </c>
    </row>
    <row r="30" customFormat="false" ht="14.5" hidden="false" customHeight="false" outlineLevel="0" collapsed="false">
      <c r="B30" s="0" t="s">
        <v>16</v>
      </c>
      <c r="C30" s="0" t="s">
        <v>52</v>
      </c>
      <c r="D30" s="0" t="s">
        <v>53</v>
      </c>
      <c r="E30" s="0" t="s">
        <v>5</v>
      </c>
      <c r="F30" s="0" t="s">
        <v>26</v>
      </c>
      <c r="G30" s="0" t="s">
        <v>27</v>
      </c>
    </row>
    <row r="31" customFormat="false" ht="14.5" hidden="false" customHeight="false" outlineLevel="0" collapsed="false">
      <c r="A31" s="0" t="n">
        <v>1</v>
      </c>
      <c r="B31" s="0" t="n">
        <v>0.502</v>
      </c>
      <c r="D31" s="0" t="n">
        <f aca="false">0.16*D27</f>
        <v>1.6E-007</v>
      </c>
      <c r="F31" s="0" t="n">
        <f aca="false">B31/D31</f>
        <v>3137500</v>
      </c>
    </row>
    <row r="32" customFormat="false" ht="14.5" hidden="false" customHeight="false" outlineLevel="0" collapsed="false">
      <c r="A32" s="0" t="n">
        <v>2</v>
      </c>
      <c r="B32" s="0" t="n">
        <v>0.652</v>
      </c>
      <c r="D32" s="0" t="n">
        <f aca="false">0.2*D27</f>
        <v>2E-007</v>
      </c>
      <c r="F32" s="0" t="n">
        <f aca="false">B32/D32</f>
        <v>3260000</v>
      </c>
    </row>
    <row r="33" customFormat="false" ht="14.5" hidden="false" customHeight="false" outlineLevel="0" collapsed="false">
      <c r="A33" s="0" t="n">
        <v>3</v>
      </c>
      <c r="B33" s="0" t="n">
        <v>0.802</v>
      </c>
      <c r="D33" s="0" t="n">
        <f aca="false">0.24*D27</f>
        <v>2.4E-007</v>
      </c>
      <c r="F33" s="0" t="n">
        <f aca="false">B33/D33</f>
        <v>3341666.66666667</v>
      </c>
    </row>
    <row r="34" customFormat="false" ht="14.5" hidden="false" customHeight="false" outlineLevel="0" collapsed="false">
      <c r="A34" s="0" t="n">
        <v>4</v>
      </c>
      <c r="B34" s="0" t="n">
        <v>0.952</v>
      </c>
      <c r="D34" s="0" t="n">
        <f aca="false">0.29*D27</f>
        <v>2.9E-007</v>
      </c>
      <c r="F34" s="0" t="n">
        <f aca="false">B34/D34</f>
        <v>3282758.62068966</v>
      </c>
    </row>
    <row r="35" customFormat="false" ht="14.5" hidden="false" customHeight="false" outlineLevel="0" collapsed="false">
      <c r="A35" s="0" t="n">
        <v>5</v>
      </c>
      <c r="B35" s="0" t="n">
        <v>1.102</v>
      </c>
      <c r="D35" s="0" t="n">
        <f aca="false">0.33*D27</f>
        <v>3.3E-007</v>
      </c>
      <c r="F35" s="0" t="n">
        <f aca="false">B35/D35</f>
        <v>3339393.93939394</v>
      </c>
    </row>
    <row r="36" customFormat="false" ht="14.5" hidden="false" customHeight="false" outlineLevel="0" collapsed="false">
      <c r="A36" s="0" t="n">
        <v>6</v>
      </c>
      <c r="B36" s="0" t="n">
        <v>1.252</v>
      </c>
      <c r="D36" s="0" t="n">
        <f aca="false">D27*0.37</f>
        <v>3.7E-007</v>
      </c>
      <c r="F36" s="0" t="n">
        <f aca="false">B36/D36</f>
        <v>3383783.78378378</v>
      </c>
    </row>
    <row r="37" customFormat="false" ht="14.5" hidden="false" customHeight="false" outlineLevel="0" collapsed="false">
      <c r="A37" s="0" t="n">
        <v>7</v>
      </c>
      <c r="B37" s="0" t="n">
        <v>1.402</v>
      </c>
      <c r="D37" s="0" t="n">
        <f aca="false">0.42*D27</f>
        <v>4.2E-007</v>
      </c>
      <c r="F37" s="0" t="n">
        <f aca="false">B37/D37</f>
        <v>3338095.23809524</v>
      </c>
    </row>
    <row r="38" customFormat="false" ht="14.5" hidden="false" customHeight="false" outlineLevel="0" collapsed="false">
      <c r="A38" s="0" t="n">
        <v>8</v>
      </c>
      <c r="B38" s="0" t="n">
        <v>1.552</v>
      </c>
      <c r="D38" s="0" t="n">
        <f aca="false">0.46*D27</f>
        <v>4.6E-007</v>
      </c>
      <c r="F38" s="0" t="n">
        <f aca="false">B38/D38</f>
        <v>3373913.04347826</v>
      </c>
    </row>
    <row r="39" customFormat="false" ht="14.5" hidden="false" customHeight="false" outlineLevel="0" collapsed="false">
      <c r="A39" s="0" t="n">
        <v>9</v>
      </c>
      <c r="B39" s="0" t="n">
        <v>1.702</v>
      </c>
      <c r="D39" s="0" t="n">
        <f aca="false">0.51*D27</f>
        <v>5.1E-007</v>
      </c>
      <c r="F39" s="0" t="n">
        <f aca="false">B39/D39</f>
        <v>3337254.90196078</v>
      </c>
    </row>
    <row r="40" customFormat="false" ht="14.5" hidden="false" customHeight="false" outlineLevel="0" collapsed="false">
      <c r="A40" s="0" t="n">
        <v>10</v>
      </c>
      <c r="B40" s="0" t="n">
        <v>1.852</v>
      </c>
      <c r="D40" s="0" t="n">
        <f aca="false">0.55*D27</f>
        <v>5.5E-007</v>
      </c>
      <c r="F40" s="0" t="n">
        <f aca="false">B40/D40</f>
        <v>3367272.72727273</v>
      </c>
    </row>
    <row r="41" customFormat="false" ht="14.5" hidden="false" customHeight="false" outlineLevel="0" collapsed="false">
      <c r="A41" s="0" t="n">
        <v>11</v>
      </c>
      <c r="B41" s="0" t="n">
        <v>2.003</v>
      </c>
      <c r="D41" s="0" t="n">
        <f aca="false">D27*0.6</f>
        <v>6E-007</v>
      </c>
      <c r="F41" s="0" t="n">
        <f aca="false">B41/D41</f>
        <v>3338333.33333333</v>
      </c>
    </row>
    <row r="42" customFormat="false" ht="14.5" hidden="false" customHeight="false" outlineLevel="0" collapsed="false">
      <c r="A42" s="0" t="n">
        <v>12</v>
      </c>
      <c r="B42" s="0" t="n">
        <v>2.203</v>
      </c>
      <c r="D42" s="0" t="n">
        <f aca="false">0.65*D27</f>
        <v>6.5E-007</v>
      </c>
      <c r="F42" s="0" t="n">
        <f aca="false">B42/D42</f>
        <v>3389230.76923077</v>
      </c>
    </row>
    <row r="43" customFormat="false" ht="14.5" hidden="false" customHeight="false" outlineLevel="0" collapsed="false">
      <c r="A43" s="0" t="n">
        <v>13</v>
      </c>
      <c r="B43" s="0" t="n">
        <v>3.002</v>
      </c>
      <c r="D43" s="0" t="n">
        <f aca="false">0.89*D27</f>
        <v>8.9E-007</v>
      </c>
      <c r="F43" s="0" t="n">
        <f aca="false">B43/D43</f>
        <v>3373033.70786517</v>
      </c>
    </row>
    <row r="44" customFormat="false" ht="14.5" hidden="false" customHeight="false" outlineLevel="0" collapsed="false">
      <c r="A44" s="0" t="n">
        <v>14</v>
      </c>
      <c r="B44" s="0" t="n">
        <v>4.003</v>
      </c>
      <c r="D44" s="0" t="n">
        <f aca="false">1.18*D27</f>
        <v>1.18E-006</v>
      </c>
      <c r="F44" s="0" t="n">
        <f aca="false">B44/D44</f>
        <v>3392372.88135593</v>
      </c>
    </row>
    <row r="45" customFormat="false" ht="14.5" hidden="false" customHeight="false" outlineLevel="0" collapsed="false">
      <c r="A45" s="0" t="n">
        <v>15</v>
      </c>
      <c r="B45" s="0" t="n">
        <v>3.802</v>
      </c>
      <c r="D45" s="0" t="n">
        <f aca="false">1.13*D27</f>
        <v>1.13E-006</v>
      </c>
      <c r="F45" s="0" t="n">
        <f aca="false">B45/D45</f>
        <v>3364601.76991151</v>
      </c>
    </row>
    <row r="46" customFormat="false" ht="14.5" hidden="false" customHeight="false" outlineLevel="0" collapsed="false">
      <c r="A46" s="0" t="n">
        <v>16</v>
      </c>
      <c r="B46" s="0" t="n">
        <v>4.203</v>
      </c>
      <c r="D46" s="0" t="n">
        <f aca="false">D27*1.24</f>
        <v>1.24E-006</v>
      </c>
      <c r="F46" s="0" t="n">
        <f aca="false">B46/D46</f>
        <v>3389516.12903226</v>
      </c>
      <c r="H46" s="0" t="s">
        <v>58</v>
      </c>
    </row>
    <row r="47" customFormat="false" ht="14.5" hidden="false" customHeight="false" outlineLevel="0" collapsed="false">
      <c r="A47" s="0" t="n">
        <v>17</v>
      </c>
      <c r="B47" s="0" t="n">
        <v>4.403</v>
      </c>
      <c r="D47" s="0" t="n">
        <f aca="false">1.3*D27</f>
        <v>1.3E-006</v>
      </c>
      <c r="F47" s="0" t="n">
        <f aca="false">B47/D47</f>
        <v>3386923.07692308</v>
      </c>
    </row>
    <row r="48" customFormat="false" ht="14.5" hidden="false" customHeight="false" outlineLevel="0" collapsed="false">
      <c r="A48" s="0" t="n">
        <v>18</v>
      </c>
      <c r="B48" s="0" t="n">
        <v>4.553</v>
      </c>
      <c r="D48" s="0" t="n">
        <f aca="false">1.35*D27</f>
        <v>1.35E-006</v>
      </c>
      <c r="F48" s="0" t="n">
        <f aca="false">B48/D48</f>
        <v>3372592.59259259</v>
      </c>
    </row>
    <row r="49" customFormat="false" ht="14.5" hidden="false" customHeight="false" outlineLevel="0" collapsed="false">
      <c r="A49" s="0" t="n">
        <v>19</v>
      </c>
      <c r="B49" s="0" t="n">
        <v>4.703</v>
      </c>
      <c r="D49" s="0" t="n">
        <f aca="false">1.39*D27</f>
        <v>1.39E-006</v>
      </c>
      <c r="F49" s="0" t="n">
        <f aca="false">B49/D49</f>
        <v>3383453.23741007</v>
      </c>
    </row>
    <row r="50" customFormat="false" ht="14.5" hidden="false" customHeight="false" outlineLevel="0" collapsed="false">
      <c r="A50" s="0" t="n">
        <v>20</v>
      </c>
      <c r="B50" s="0" t="n">
        <v>4.853</v>
      </c>
      <c r="D50" s="0" t="n">
        <f aca="false">1.44*D27</f>
        <v>1.44E-006</v>
      </c>
      <c r="F50" s="0" t="n">
        <f aca="false">B50/D50</f>
        <v>3370138.88888889</v>
      </c>
    </row>
    <row r="51" customFormat="false" ht="14.5" hidden="false" customHeight="false" outlineLevel="0" collapsed="false">
      <c r="B51" s="0" t="n">
        <v>6.01</v>
      </c>
      <c r="D51" s="0" t="n">
        <f aca="false">1.77*D27</f>
        <v>1.77E-006</v>
      </c>
      <c r="F51" s="0" t="n">
        <f aca="false">B51/D51</f>
        <v>3395480.2259887</v>
      </c>
    </row>
    <row r="54" customFormat="false" ht="14.5" hidden="false" customHeight="false" outlineLevel="0" collapsed="false">
      <c r="E54" s="0" t="s">
        <v>11</v>
      </c>
      <c r="F54" s="0" t="n">
        <f aca="false">AVERAGE(F31:F50)</f>
        <v>3346091.76539423</v>
      </c>
      <c r="H54" s="0" t="n">
        <f aca="false">(B29-F54)/F56</f>
        <v>7.70307454152946</v>
      </c>
    </row>
    <row r="55" customFormat="false" ht="14.5" hidden="false" customHeight="false" outlineLevel="0" collapsed="false">
      <c r="E55" s="0" t="s">
        <v>54</v>
      </c>
      <c r="F55" s="0" t="n">
        <f aca="false">_xlfn.STDEV.S(F31:F50)</f>
        <v>60325.4907499202</v>
      </c>
    </row>
    <row r="56" customFormat="false" ht="14.5" hidden="false" customHeight="false" outlineLevel="0" collapsed="false">
      <c r="E56" s="0" t="s">
        <v>55</v>
      </c>
      <c r="F56" s="0" t="n">
        <f aca="false">F55/SQRT(20)</f>
        <v>13489.1898092856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5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F14" activeCellId="0" sqref="F14"/>
    </sheetView>
  </sheetViews>
  <sheetFormatPr defaultRowHeight="14.5" zeroHeight="false" outlineLevelRow="0" outlineLevelCol="0"/>
  <cols>
    <col collapsed="false" customWidth="true" hidden="false" outlineLevel="0" max="1025" min="1" style="0" width="8.36"/>
  </cols>
  <sheetData>
    <row r="2" customFormat="false" ht="14.5" hidden="false" customHeight="false" outlineLevel="0" collapsed="false">
      <c r="B2" s="0" t="s">
        <v>59</v>
      </c>
    </row>
    <row r="4" customFormat="false" ht="14.5" hidden="false" customHeight="false" outlineLevel="0" collapsed="false">
      <c r="D4" s="0" t="s">
        <v>60</v>
      </c>
    </row>
    <row r="5" customFormat="false" ht="14.5" hidden="false" customHeight="false" outlineLevel="0" collapsed="false">
      <c r="B5" s="0" t="s">
        <v>49</v>
      </c>
      <c r="C5" s="0" t="s">
        <v>50</v>
      </c>
      <c r="D5" s="0" t="s">
        <v>61</v>
      </c>
    </row>
    <row r="6" customFormat="false" ht="14.5" hidden="false" customHeight="false" outlineLevel="0" collapsed="false">
      <c r="B6" s="0" t="n">
        <v>270</v>
      </c>
      <c r="C6" s="0" t="n">
        <v>270</v>
      </c>
      <c r="D6" s="0" t="s">
        <v>62</v>
      </c>
    </row>
    <row r="9" customFormat="false" ht="14.5" hidden="false" customHeight="false" outlineLevel="0" collapsed="false">
      <c r="B9" s="0" t="s">
        <v>63</v>
      </c>
      <c r="I9" s="0" t="s">
        <v>64</v>
      </c>
    </row>
    <row r="10" customFormat="false" ht="14.5" hidden="false" customHeight="false" outlineLevel="0" collapsed="false">
      <c r="B10" s="0" t="s">
        <v>65</v>
      </c>
      <c r="C10" s="0" t="s">
        <v>66</v>
      </c>
      <c r="D10" s="0" t="s">
        <v>67</v>
      </c>
      <c r="E10" s="0" t="s">
        <v>68</v>
      </c>
      <c r="F10" s="0" t="s">
        <v>17</v>
      </c>
      <c r="I10" s="0" t="s">
        <v>65</v>
      </c>
      <c r="J10" s="0" t="s">
        <v>66</v>
      </c>
      <c r="K10" s="0" t="s">
        <v>67</v>
      </c>
      <c r="L10" s="0" t="s">
        <v>68</v>
      </c>
      <c r="M10" s="0" t="s">
        <v>69</v>
      </c>
    </row>
    <row r="11" customFormat="false" ht="14.5" hidden="false" customHeight="false" outlineLevel="0" collapsed="false">
      <c r="B11" s="0" t="n">
        <v>0.8</v>
      </c>
      <c r="C11" s="0" t="n">
        <v>0.01</v>
      </c>
      <c r="D11" s="0" t="n">
        <v>0.337</v>
      </c>
      <c r="E11" s="0" t="n">
        <v>0.001</v>
      </c>
      <c r="F11" s="0" t="s">
        <v>70</v>
      </c>
      <c r="I11" s="0" t="n">
        <v>0.8</v>
      </c>
      <c r="K11" s="0" t="n">
        <v>0.337</v>
      </c>
      <c r="M11" s="0" t="n">
        <f aca="false">I11/K11</f>
        <v>2.37388724035608</v>
      </c>
    </row>
    <row r="12" customFormat="false" ht="14.5" hidden="false" customHeight="false" outlineLevel="0" collapsed="false">
      <c r="B12" s="0" t="n">
        <f aca="false">0.7</f>
        <v>0.7</v>
      </c>
      <c r="D12" s="0" t="n">
        <v>0.295</v>
      </c>
      <c r="I12" s="0" t="n">
        <v>0.7</v>
      </c>
      <c r="K12" s="0" t="n">
        <v>0.295</v>
      </c>
      <c r="M12" s="0" t="n">
        <f aca="false">I12/K12</f>
        <v>2.3728813559322</v>
      </c>
    </row>
    <row r="13" customFormat="false" ht="14.5" hidden="false" customHeight="false" outlineLevel="0" collapsed="false">
      <c r="I13" s="0" t="n">
        <v>0.9</v>
      </c>
      <c r="K13" s="0" t="n">
        <v>0.38</v>
      </c>
      <c r="M13" s="0" t="n">
        <f aca="false">I13/K13</f>
        <v>2.36842105263158</v>
      </c>
    </row>
    <row r="14" customFormat="false" ht="14.5" hidden="false" customHeight="false" outlineLevel="0" collapsed="false">
      <c r="I14" s="0" t="n">
        <v>0.75</v>
      </c>
      <c r="K14" s="0" t="n">
        <v>0.316</v>
      </c>
      <c r="M14" s="0" t="n">
        <f aca="false">I14/K14</f>
        <v>2.37341772151899</v>
      </c>
    </row>
    <row r="15" customFormat="false" ht="14.5" hidden="false" customHeight="false" outlineLevel="0" collapsed="false">
      <c r="C15" s="0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G84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D64" activeCellId="0" sqref="D64"/>
    </sheetView>
  </sheetViews>
  <sheetFormatPr defaultRowHeight="14.5" zeroHeight="false" outlineLevelRow="0" outlineLevelCol="0"/>
  <cols>
    <col collapsed="false" customWidth="true" hidden="false" outlineLevel="0" max="3" min="1" style="0" width="8.36"/>
    <col collapsed="false" customWidth="true" hidden="false" outlineLevel="0" max="5" min="4" style="0" width="10.82"/>
    <col collapsed="false" customWidth="true" hidden="false" outlineLevel="0" max="1025" min="6" style="0" width="8.36"/>
  </cols>
  <sheetData>
    <row r="6" customFormat="false" ht="14.5" hidden="false" customHeight="false" outlineLevel="0" collapsed="false">
      <c r="C6" s="0" t="s">
        <v>72</v>
      </c>
    </row>
    <row r="7" customFormat="false" ht="14.5" hidden="false" customHeight="false" outlineLevel="0" collapsed="false">
      <c r="D7" s="0" t="n">
        <f aca="false">10^-6</f>
        <v>1E-006</v>
      </c>
    </row>
    <row r="8" customFormat="false" ht="14.5" hidden="false" customHeight="false" outlineLevel="0" collapsed="false">
      <c r="B8" s="0" t="s">
        <v>16</v>
      </c>
      <c r="C8" s="0" t="s">
        <v>52</v>
      </c>
      <c r="D8" s="0" t="s">
        <v>17</v>
      </c>
      <c r="E8" s="0" t="s">
        <v>73</v>
      </c>
      <c r="F8" s="0" t="s">
        <v>74</v>
      </c>
      <c r="G8" s="0" t="s">
        <v>75</v>
      </c>
    </row>
    <row r="9" customFormat="false" ht="14.5" hidden="false" customHeight="false" outlineLevel="0" collapsed="false">
      <c r="F9" s="0" t="n">
        <f aca="false">1.38*10^23</f>
        <v>1.38E+023</v>
      </c>
      <c r="G9" s="0" t="n">
        <f aca="false">1.6*10^-19</f>
        <v>1.6E-019</v>
      </c>
    </row>
    <row r="10" customFormat="false" ht="14.5" hidden="false" customHeight="false" outlineLevel="0" collapsed="false">
      <c r="A10" s="0" t="n">
        <v>1</v>
      </c>
      <c r="B10" s="0" t="n">
        <v>0.502</v>
      </c>
      <c r="D10" s="0" t="n">
        <f aca="false">0.05*D7</f>
        <v>5E-008</v>
      </c>
      <c r="E10" s="0" t="n">
        <f aca="false">0.01*D7</f>
        <v>1E-008</v>
      </c>
    </row>
    <row r="11" customFormat="false" ht="14.5" hidden="false" customHeight="false" outlineLevel="0" collapsed="false">
      <c r="A11" s="0" t="n">
        <v>2</v>
      </c>
      <c r="B11" s="0" t="n">
        <v>0.701</v>
      </c>
      <c r="D11" s="0" t="n">
        <f aca="false">0.07*D7</f>
        <v>7E-008</v>
      </c>
    </row>
    <row r="12" customFormat="false" ht="14.5" hidden="false" customHeight="false" outlineLevel="0" collapsed="false">
      <c r="A12" s="0" t="n">
        <v>3</v>
      </c>
      <c r="B12" s="0" t="n">
        <v>0.902</v>
      </c>
      <c r="D12" s="0" t="n">
        <f aca="false">0.09*D7</f>
        <v>9E-008</v>
      </c>
      <c r="E12" s="0" t="n">
        <f aca="false">0.01*D9</f>
        <v>0</v>
      </c>
    </row>
    <row r="13" customFormat="false" ht="14.5" hidden="false" customHeight="false" outlineLevel="0" collapsed="false">
      <c r="A13" s="0" t="n">
        <v>4</v>
      </c>
      <c r="B13" s="0" t="n">
        <v>1.102</v>
      </c>
      <c r="D13" s="0" t="n">
        <f aca="false">0.11*D7</f>
        <v>1.1E-007</v>
      </c>
      <c r="E13" s="0" t="n">
        <f aca="false">0.01*D10</f>
        <v>5E-010</v>
      </c>
    </row>
    <row r="14" customFormat="false" ht="14.5" hidden="false" customHeight="false" outlineLevel="0" collapsed="false">
      <c r="A14" s="0" t="n">
        <v>5</v>
      </c>
      <c r="B14" s="0" t="n">
        <v>1.301</v>
      </c>
      <c r="D14" s="0" t="n">
        <f aca="false">0.15*D7</f>
        <v>1.5E-007</v>
      </c>
      <c r="E14" s="0" t="n">
        <f aca="false">0.01*D11</f>
        <v>7E-010</v>
      </c>
    </row>
    <row r="15" customFormat="false" ht="14.5" hidden="false" customHeight="false" outlineLevel="0" collapsed="false">
      <c r="A15" s="0" t="n">
        <v>6</v>
      </c>
      <c r="B15" s="0" t="n">
        <v>1.502</v>
      </c>
      <c r="D15" s="0" t="n">
        <f aca="false">4.04*D7</f>
        <v>4.04E-006</v>
      </c>
      <c r="E15" s="0" t="n">
        <f aca="false">0.01*D12</f>
        <v>9E-010</v>
      </c>
    </row>
    <row r="16" customFormat="false" ht="14.5" hidden="false" customHeight="false" outlineLevel="0" collapsed="false">
      <c r="A16" s="0" t="n">
        <v>7</v>
      </c>
      <c r="B16" s="0" t="n">
        <v>1.676</v>
      </c>
      <c r="D16" s="0" t="n">
        <f aca="false">260*D7</f>
        <v>0.00026</v>
      </c>
      <c r="E16" s="0" t="n">
        <f aca="false">0.1*D7</f>
        <v>1E-007</v>
      </c>
    </row>
    <row r="17" customFormat="false" ht="14.5" hidden="false" customHeight="false" outlineLevel="0" collapsed="false">
      <c r="A17" s="0" t="n">
        <v>8</v>
      </c>
      <c r="B17" s="0" t="n">
        <v>1.727</v>
      </c>
      <c r="D17" s="0" t="n">
        <f aca="false">0.246*10^-3</f>
        <v>0.000246</v>
      </c>
    </row>
    <row r="18" customFormat="false" ht="14.5" hidden="false" customHeight="false" outlineLevel="0" collapsed="false">
      <c r="A18" s="0" t="n">
        <v>9</v>
      </c>
      <c r="B18" s="0" t="n">
        <v>1.76</v>
      </c>
      <c r="D18" s="0" t="n">
        <f aca="false">1.417*10^-3</f>
        <v>0.001417</v>
      </c>
    </row>
    <row r="19" customFormat="false" ht="14.5" hidden="false" customHeight="false" outlineLevel="0" collapsed="false">
      <c r="A19" s="0" t="n">
        <v>10</v>
      </c>
      <c r="B19" s="0" t="n">
        <v>1.783</v>
      </c>
      <c r="D19" s="0" t="n">
        <f aca="false">2.179*10^-3</f>
        <v>0.002179</v>
      </c>
    </row>
    <row r="20" customFormat="false" ht="14.5" hidden="false" customHeight="false" outlineLevel="0" collapsed="false">
      <c r="A20" s="0" t="n">
        <v>11</v>
      </c>
      <c r="B20" s="0" t="n">
        <v>1.801</v>
      </c>
      <c r="D20" s="0" t="n">
        <f aca="false">2.991*10^-3</f>
        <v>0.002991</v>
      </c>
    </row>
    <row r="21" customFormat="false" ht="14.5" hidden="false" customHeight="false" outlineLevel="0" collapsed="false">
      <c r="A21" s="0" t="n">
        <v>12</v>
      </c>
      <c r="B21" s="0" t="n">
        <v>1.817</v>
      </c>
      <c r="D21" s="0" t="n">
        <f aca="false">3.838*10^-3</f>
        <v>0.003838</v>
      </c>
    </row>
    <row r="22" customFormat="false" ht="14.5" hidden="false" customHeight="false" outlineLevel="0" collapsed="false">
      <c r="A22" s="0" t="n">
        <v>14</v>
      </c>
      <c r="B22" s="0" t="n">
        <v>1.333</v>
      </c>
      <c r="D22" s="0" t="n">
        <f aca="false">0.18*D7</f>
        <v>1.8E-007</v>
      </c>
    </row>
    <row r="23" customFormat="false" ht="14.5" hidden="false" customHeight="false" outlineLevel="0" collapsed="false">
      <c r="A23" s="0" t="n">
        <v>15</v>
      </c>
      <c r="B23" s="0" t="n">
        <v>1.352</v>
      </c>
      <c r="D23" s="0" t="n">
        <f aca="false">0.21*D7</f>
        <v>2.1E-007</v>
      </c>
    </row>
    <row r="24" customFormat="false" ht="14.5" hidden="false" customHeight="false" outlineLevel="0" collapsed="false">
      <c r="A24" s="0" t="n">
        <v>16</v>
      </c>
      <c r="B24" s="0" t="n">
        <v>1.372</v>
      </c>
      <c r="D24" s="0" t="n">
        <f aca="false">0.27*D7</f>
        <v>2.7E-007</v>
      </c>
    </row>
    <row r="25" customFormat="false" ht="14.5" hidden="false" customHeight="false" outlineLevel="0" collapsed="false">
      <c r="A25" s="0" t="n">
        <v>17</v>
      </c>
      <c r="B25" s="0" t="n">
        <v>1.392</v>
      </c>
      <c r="D25" s="0" t="n">
        <f aca="false">0.36*D7</f>
        <v>3.6E-007</v>
      </c>
    </row>
    <row r="26" customFormat="false" ht="14.5" hidden="false" customHeight="false" outlineLevel="0" collapsed="false">
      <c r="A26" s="0" t="n">
        <v>18</v>
      </c>
      <c r="B26" s="0" t="n">
        <v>1.412</v>
      </c>
      <c r="D26" s="0" t="n">
        <f aca="false">0.5*D7</f>
        <v>5E-007</v>
      </c>
    </row>
    <row r="27" customFormat="false" ht="14.5" hidden="false" customHeight="false" outlineLevel="0" collapsed="false">
      <c r="A27" s="0" t="n">
        <v>19</v>
      </c>
      <c r="B27" s="0" t="n">
        <v>1.423</v>
      </c>
      <c r="D27" s="0" t="n">
        <f aca="false">0.6*D7</f>
        <v>6E-007</v>
      </c>
    </row>
    <row r="28" customFormat="false" ht="14.5" hidden="false" customHeight="false" outlineLevel="0" collapsed="false">
      <c r="A28" s="0" t="n">
        <v>20</v>
      </c>
      <c r="B28" s="0" t="n">
        <v>1.433</v>
      </c>
      <c r="D28" s="0" t="n">
        <f aca="false">0.74*D7</f>
        <v>7.4E-007</v>
      </c>
    </row>
    <row r="29" customFormat="false" ht="14.5" hidden="false" customHeight="false" outlineLevel="0" collapsed="false">
      <c r="A29" s="0" t="n">
        <v>21</v>
      </c>
      <c r="B29" s="0" t="n">
        <v>1.443</v>
      </c>
      <c r="D29" s="0" t="n">
        <f aca="false">0.91*D7</f>
        <v>9.1E-007</v>
      </c>
    </row>
    <row r="30" customFormat="false" ht="14.5" hidden="false" customHeight="false" outlineLevel="0" collapsed="false">
      <c r="A30" s="0" t="n">
        <v>22</v>
      </c>
      <c r="B30" s="0" t="n">
        <v>1.482</v>
      </c>
      <c r="D30" s="0" t="n">
        <f aca="false">2.36*D7</f>
        <v>2.36E-006</v>
      </c>
    </row>
    <row r="31" customFormat="false" ht="14.5" hidden="false" customHeight="false" outlineLevel="0" collapsed="false">
      <c r="A31" s="0" t="n">
        <v>23</v>
      </c>
      <c r="B31" s="0" t="n">
        <v>1.512</v>
      </c>
      <c r="D31" s="0" t="n">
        <f aca="false">4.96*D7</f>
        <v>4.96E-006</v>
      </c>
    </row>
    <row r="32" customFormat="false" ht="14.5" hidden="false" customHeight="false" outlineLevel="0" collapsed="false">
      <c r="A32" s="0" t="n">
        <v>24</v>
      </c>
      <c r="B32" s="0" t="n">
        <v>1.551</v>
      </c>
      <c r="D32" s="0" t="n">
        <f aca="false">13.74*D7</f>
        <v>1.374E-005</v>
      </c>
    </row>
    <row r="33" customFormat="false" ht="14.5" hidden="false" customHeight="false" outlineLevel="0" collapsed="false">
      <c r="A33" s="0" t="n">
        <v>25</v>
      </c>
      <c r="B33" s="0" t="n">
        <v>1.57</v>
      </c>
      <c r="D33" s="0" t="n">
        <f aca="false">22.56*D7</f>
        <v>2.256E-005</v>
      </c>
    </row>
    <row r="34" customFormat="false" ht="14.5" hidden="false" customHeight="false" outlineLevel="0" collapsed="false">
      <c r="A34" s="0" t="n">
        <v>26</v>
      </c>
      <c r="B34" s="0" t="n">
        <v>1.588</v>
      </c>
      <c r="D34" s="0" t="n">
        <f aca="false">35.85*D7</f>
        <v>3.585E-005</v>
      </c>
    </row>
    <row r="35" customFormat="false" ht="14.5" hidden="false" customHeight="false" outlineLevel="0" collapsed="false">
      <c r="A35" s="0" t="n">
        <v>27</v>
      </c>
      <c r="B35" s="0" t="n">
        <v>1.598</v>
      </c>
      <c r="D35" s="0" t="n">
        <f aca="false">44.86*D7</f>
        <v>4.486E-005</v>
      </c>
    </row>
    <row r="36" customFormat="false" ht="14.5" hidden="false" customHeight="false" outlineLevel="0" collapsed="false">
      <c r="A36" s="0" t="n">
        <v>28</v>
      </c>
      <c r="B36" s="0" t="n">
        <v>1.615</v>
      </c>
      <c r="D36" s="0" t="n">
        <f aca="false">68.53*D7</f>
        <v>6.853E-005</v>
      </c>
    </row>
    <row r="37" customFormat="false" ht="14.5" hidden="false" customHeight="false" outlineLevel="0" collapsed="false">
      <c r="A37" s="0" t="n">
        <v>29</v>
      </c>
      <c r="B37" s="0" t="n">
        <v>1.624</v>
      </c>
      <c r="D37" s="0" t="n">
        <f aca="false">83.5*D7</f>
        <v>8.35E-005</v>
      </c>
    </row>
    <row r="38" customFormat="false" ht="14.5" hidden="false" customHeight="false" outlineLevel="0" collapsed="false">
      <c r="A38" s="0" t="n">
        <v>30</v>
      </c>
      <c r="B38" s="0" t="n">
        <v>1.632</v>
      </c>
      <c r="D38" s="0" t="n">
        <f aca="false">100.6*D7</f>
        <v>0.0001006</v>
      </c>
    </row>
    <row r="39" customFormat="false" ht="14.5" hidden="false" customHeight="false" outlineLevel="0" collapsed="false">
      <c r="A39" s="0" t="n">
        <v>31</v>
      </c>
      <c r="B39" s="0" t="n">
        <v>1.64</v>
      </c>
      <c r="D39" s="0" t="n">
        <f aca="false">119.9*D7</f>
        <v>0.0001199</v>
      </c>
      <c r="F39" s="0" t="n">
        <v>0.001</v>
      </c>
    </row>
    <row r="40" customFormat="false" ht="14.5" hidden="false" customHeight="false" outlineLevel="0" collapsed="false">
      <c r="A40" s="0" t="n">
        <v>32</v>
      </c>
      <c r="B40" s="0" t="n">
        <v>1.648</v>
      </c>
      <c r="D40" s="0" t="n">
        <f aca="false">141.7*D7</f>
        <v>0.0001417</v>
      </c>
    </row>
    <row r="41" customFormat="false" ht="14.5" hidden="false" customHeight="false" outlineLevel="0" collapsed="false">
      <c r="A41" s="0" t="n">
        <v>33</v>
      </c>
      <c r="B41" s="0" t="n">
        <v>1.669</v>
      </c>
      <c r="D41" s="0" t="n">
        <f aca="false">224.6*D7</f>
        <v>0.0002246</v>
      </c>
    </row>
    <row r="42" customFormat="false" ht="14.5" hidden="false" customHeight="false" outlineLevel="0" collapsed="false">
      <c r="A42" s="0" t="n">
        <v>34</v>
      </c>
      <c r="B42" s="0" t="n">
        <v>1.682</v>
      </c>
      <c r="D42" s="0" t="n">
        <f aca="false">294.6*D7</f>
        <v>0.0002946</v>
      </c>
    </row>
    <row r="43" customFormat="false" ht="14.5" hidden="false" customHeight="false" outlineLevel="0" collapsed="false">
      <c r="A43" s="0" t="n">
        <v>35</v>
      </c>
      <c r="B43" s="0" t="n">
        <v>1.694</v>
      </c>
      <c r="D43" s="0" t="n">
        <f aca="false">375.8*D7</f>
        <v>0.0003758</v>
      </c>
    </row>
    <row r="44" customFormat="false" ht="14.5" hidden="false" customHeight="false" outlineLevel="0" collapsed="false">
      <c r="A44" s="0" t="n">
        <v>36</v>
      </c>
      <c r="B44" s="0" t="n">
        <v>1.699</v>
      </c>
      <c r="D44" s="0" t="n">
        <f aca="false">473.8*D7</f>
        <v>0.0004738</v>
      </c>
    </row>
    <row r="45" customFormat="false" ht="14.5" hidden="false" customHeight="false" outlineLevel="0" collapsed="false">
      <c r="A45" s="0" t="n">
        <v>37</v>
      </c>
      <c r="B45" s="0" t="n">
        <v>1.715</v>
      </c>
      <c r="D45" s="0" t="n">
        <f aca="false">0.575*F39</f>
        <v>0.000575</v>
      </c>
    </row>
    <row r="46" customFormat="false" ht="14.5" hidden="false" customHeight="false" outlineLevel="0" collapsed="false">
      <c r="A46" s="0" t="n">
        <v>38</v>
      </c>
      <c r="B46" s="0" t="n">
        <v>1.723</v>
      </c>
      <c r="D46" s="0" t="n">
        <f aca="false">0.688*F39</f>
        <v>0.000688</v>
      </c>
    </row>
    <row r="47" customFormat="false" ht="14.5" hidden="false" customHeight="false" outlineLevel="0" collapsed="false">
      <c r="A47" s="0" t="n">
        <v>39</v>
      </c>
      <c r="B47" s="0" t="n">
        <v>1.731</v>
      </c>
      <c r="D47" s="0" t="n">
        <f aca="false">0.808*F39</f>
        <v>0.000808</v>
      </c>
    </row>
    <row r="48" customFormat="false" ht="14.5" hidden="false" customHeight="false" outlineLevel="0" collapsed="false">
      <c r="A48" s="0" t="n">
        <v>40</v>
      </c>
      <c r="B48" s="0" t="n">
        <v>1.745</v>
      </c>
      <c r="D48" s="0" t="n">
        <f aca="false">1.067*F39</f>
        <v>0.001067</v>
      </c>
    </row>
    <row r="49" customFormat="false" ht="14.5" hidden="false" customHeight="false" outlineLevel="0" collapsed="false">
      <c r="A49" s="0" t="n">
        <v>41</v>
      </c>
      <c r="B49" s="0" t="n">
        <v>1.754</v>
      </c>
      <c r="D49" s="0" t="n">
        <f aca="false">1.276*F39</f>
        <v>0.001276</v>
      </c>
    </row>
    <row r="50" customFormat="false" ht="14.5" hidden="false" customHeight="false" outlineLevel="0" collapsed="false">
      <c r="A50" s="0" t="n">
        <v>42</v>
      </c>
      <c r="B50" s="0" t="n">
        <v>1.739</v>
      </c>
      <c r="D50" s="0" t="n">
        <f aca="false">0.935*F39</f>
        <v>0.000935</v>
      </c>
    </row>
    <row r="51" customFormat="false" ht="14.5" hidden="false" customHeight="false" outlineLevel="0" collapsed="false">
      <c r="A51" s="0" t="n">
        <v>43</v>
      </c>
      <c r="B51" s="0" t="n">
        <v>1.76</v>
      </c>
      <c r="D51" s="0" t="n">
        <f aca="false">1.42*F39</f>
        <v>0.00142</v>
      </c>
    </row>
    <row r="52" customFormat="false" ht="14.5" hidden="false" customHeight="false" outlineLevel="0" collapsed="false">
      <c r="A52" s="0" t="n">
        <v>44</v>
      </c>
      <c r="B52" s="0" t="n">
        <f aca="false">1.765</f>
        <v>1.765</v>
      </c>
      <c r="D52" s="0" t="n">
        <f aca="false">1.569*F39</f>
        <v>0.001569</v>
      </c>
    </row>
    <row r="53" customFormat="false" ht="14.5" hidden="false" customHeight="false" outlineLevel="0" collapsed="false">
      <c r="A53" s="0" t="n">
        <v>45</v>
      </c>
      <c r="B53" s="0" t="n">
        <v>1.774</v>
      </c>
      <c r="D53" s="0" t="n">
        <f aca="false">1.871*F39</f>
        <v>0.001871</v>
      </c>
    </row>
    <row r="54" customFormat="false" ht="14.5" hidden="false" customHeight="false" outlineLevel="0" collapsed="false">
      <c r="A54" s="0" t="n">
        <v>46</v>
      </c>
      <c r="B54" s="0" t="n">
        <v>1.778</v>
      </c>
      <c r="D54" s="0" t="n">
        <f aca="false">2.027*F39</f>
        <v>0.002027</v>
      </c>
    </row>
    <row r="55" customFormat="false" ht="14.5" hidden="false" customHeight="false" outlineLevel="0" collapsed="false">
      <c r="A55" s="0" t="n">
        <v>47</v>
      </c>
      <c r="B55" s="0" t="n">
        <v>1.78</v>
      </c>
      <c r="D55" s="0" t="n">
        <f aca="false">2.106*F39</f>
        <v>0.002106</v>
      </c>
    </row>
    <row r="56" customFormat="false" ht="14.5" hidden="false" customHeight="false" outlineLevel="0" collapsed="false">
      <c r="A56" s="0" t="n">
        <v>48</v>
      </c>
      <c r="B56" s="0" t="n">
        <v>1.788</v>
      </c>
      <c r="D56" s="0" t="n">
        <f aca="false">2.424*F39</f>
        <v>0.002424</v>
      </c>
    </row>
    <row r="57" customFormat="false" ht="14.5" hidden="false" customHeight="false" outlineLevel="0" collapsed="false">
      <c r="A57" s="0" t="n">
        <v>49</v>
      </c>
      <c r="B57" s="0" t="n">
        <v>1.794</v>
      </c>
      <c r="D57" s="0" t="n">
        <f aca="false">2.667*F39</f>
        <v>0.002667</v>
      </c>
    </row>
    <row r="58" customFormat="false" ht="14.5" hidden="false" customHeight="false" outlineLevel="0" collapsed="false">
      <c r="A58" s="0" t="n">
        <v>50</v>
      </c>
      <c r="B58" s="0" t="n">
        <v>1.801</v>
      </c>
      <c r="D58" s="0" t="n">
        <f aca="false">2.997*F39</f>
        <v>0.002997</v>
      </c>
    </row>
    <row r="59" customFormat="false" ht="14.5" hidden="false" customHeight="false" outlineLevel="0" collapsed="false">
      <c r="A59" s="0" t="n">
        <v>51</v>
      </c>
      <c r="B59" s="0" t="n">
        <v>1.807</v>
      </c>
      <c r="D59" s="0" t="n">
        <f aca="false">3.331*F39</f>
        <v>0.003331</v>
      </c>
    </row>
    <row r="60" customFormat="false" ht="14.5" hidden="false" customHeight="false" outlineLevel="0" collapsed="false">
      <c r="A60" s="0" t="n">
        <v>52</v>
      </c>
      <c r="B60" s="0" t="n">
        <v>2.006</v>
      </c>
      <c r="D60" s="0" t="n">
        <f aca="false">27.8*F39</f>
        <v>0.0278</v>
      </c>
    </row>
    <row r="61" customFormat="false" ht="14.5" hidden="false" customHeight="false" outlineLevel="0" collapsed="false">
      <c r="A61" s="0" t="n">
        <v>53</v>
      </c>
      <c r="B61" s="0" t="n">
        <v>1.983</v>
      </c>
      <c r="D61" s="0" t="n">
        <f aca="false">23.9*F39</f>
        <v>0.0239</v>
      </c>
    </row>
    <row r="62" customFormat="false" ht="14.5" hidden="false" customHeight="false" outlineLevel="0" collapsed="false">
      <c r="A62" s="0" t="n">
        <v>54</v>
      </c>
      <c r="B62" s="0" t="n">
        <v>1.922</v>
      </c>
      <c r="D62" s="0" t="n">
        <f aca="false">14.5*F39</f>
        <v>0.0145</v>
      </c>
    </row>
    <row r="63" customFormat="false" ht="14.5" hidden="false" customHeight="false" outlineLevel="0" collapsed="false">
      <c r="A63" s="0" t="n">
        <v>55</v>
      </c>
      <c r="B63" s="0" t="n">
        <v>1.899</v>
      </c>
      <c r="D63" s="0" t="n">
        <f aca="false">F39*11.32</f>
        <v>0.01132</v>
      </c>
    </row>
    <row r="64" customFormat="false" ht="14.5" hidden="false" customHeight="false" outlineLevel="0" collapsed="false">
      <c r="A64" s="0" t="n">
        <v>56</v>
      </c>
    </row>
    <row r="65" customFormat="false" ht="14.5" hidden="false" customHeight="false" outlineLevel="0" collapsed="false">
      <c r="A65" s="0" t="n">
        <v>57</v>
      </c>
    </row>
    <row r="66" customFormat="false" ht="14.5" hidden="false" customHeight="false" outlineLevel="0" collapsed="false">
      <c r="A66" s="0" t="n">
        <v>58</v>
      </c>
    </row>
    <row r="67" customFormat="false" ht="14.5" hidden="false" customHeight="false" outlineLevel="0" collapsed="false">
      <c r="A67" s="0" t="n">
        <v>59</v>
      </c>
    </row>
    <row r="68" customFormat="false" ht="14.5" hidden="false" customHeight="false" outlineLevel="0" collapsed="false">
      <c r="A68" s="0" t="n">
        <v>60</v>
      </c>
    </row>
    <row r="69" customFormat="false" ht="14.5" hidden="false" customHeight="false" outlineLevel="0" collapsed="false">
      <c r="A69" s="0" t="n">
        <v>61</v>
      </c>
    </row>
    <row r="70" customFormat="false" ht="14.5" hidden="false" customHeight="false" outlineLevel="0" collapsed="false">
      <c r="A70" s="0" t="n">
        <v>62</v>
      </c>
    </row>
    <row r="71" customFormat="false" ht="14.5" hidden="false" customHeight="false" outlineLevel="0" collapsed="false">
      <c r="A71" s="0" t="n">
        <v>63</v>
      </c>
    </row>
    <row r="72" customFormat="false" ht="14.5" hidden="false" customHeight="false" outlineLevel="0" collapsed="false">
      <c r="A72" s="0" t="n">
        <v>64</v>
      </c>
    </row>
    <row r="73" customFormat="false" ht="14.5" hidden="false" customHeight="false" outlineLevel="0" collapsed="false">
      <c r="A73" s="0" t="n">
        <v>65</v>
      </c>
    </row>
    <row r="74" customFormat="false" ht="14.5" hidden="false" customHeight="false" outlineLevel="0" collapsed="false">
      <c r="A74" s="0" t="n">
        <v>66</v>
      </c>
    </row>
    <row r="75" customFormat="false" ht="14.5" hidden="false" customHeight="false" outlineLevel="0" collapsed="false">
      <c r="A75" s="0" t="n">
        <v>67</v>
      </c>
    </row>
    <row r="76" customFormat="false" ht="14.5" hidden="false" customHeight="false" outlineLevel="0" collapsed="false">
      <c r="A76" s="0" t="n">
        <v>68</v>
      </c>
    </row>
    <row r="77" customFormat="false" ht="14.5" hidden="false" customHeight="false" outlineLevel="0" collapsed="false">
      <c r="A77" s="0" t="n">
        <v>69</v>
      </c>
    </row>
    <row r="78" customFormat="false" ht="14.5" hidden="false" customHeight="false" outlineLevel="0" collapsed="false">
      <c r="A78" s="0" t="n">
        <v>70</v>
      </c>
    </row>
    <row r="79" customFormat="false" ht="14.5" hidden="false" customHeight="false" outlineLevel="0" collapsed="false">
      <c r="A79" s="0" t="n">
        <v>71</v>
      </c>
    </row>
    <row r="80" customFormat="false" ht="14.5" hidden="false" customHeight="false" outlineLevel="0" collapsed="false">
      <c r="A80" s="0" t="n">
        <v>72</v>
      </c>
    </row>
    <row r="81" customFormat="false" ht="14.5" hidden="false" customHeight="false" outlineLevel="0" collapsed="false">
      <c r="A81" s="0" t="n">
        <v>73</v>
      </c>
    </row>
    <row r="82" customFormat="false" ht="14.5" hidden="false" customHeight="false" outlineLevel="0" collapsed="false">
      <c r="A82" s="0" t="n">
        <v>74</v>
      </c>
    </row>
    <row r="83" customFormat="false" ht="14.5" hidden="false" customHeight="false" outlineLevel="0" collapsed="false">
      <c r="A83" s="0" t="n">
        <v>75</v>
      </c>
    </row>
    <row r="84" customFormat="false" ht="14.5" hidden="false" customHeight="false" outlineLevel="0" collapsed="false">
      <c r="A84" s="0" t="n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2018-03-21T09:51:01Z</dcterms:created>
  <dc:creator>Janet Qesja</dc:creator>
  <dc:description/>
  <dc:language>en-US</dc:language>
  <cp:lastModifiedBy/>
  <dcterms:modified xsi:type="dcterms:W3CDTF">2018-04-19T17:06:26Z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