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3040" windowHeight="9000" activeTab="5"/>
  </bookViews>
  <sheets>
    <sheet name="Database Sheet" sheetId="1" r:id="rId1"/>
    <sheet name="Party Master" sheetId="2" r:id="rId2"/>
    <sheet name="Stock Statement" sheetId="3" r:id="rId3"/>
    <sheet name="Purchase Order" sheetId="4" r:id="rId4"/>
    <sheet name="Purchase" sheetId="5" r:id="rId5"/>
    <sheet name="GST INVOICE" sheetId="6" r:id="rId6"/>
    <sheet name="Sales" sheetId="7" r:id="rId7"/>
  </sheets>
  <definedNames>
    <definedName name="_xlnm._FilterDatabase" localSheetId="1" hidden="1">'Party Master'!$A$1:$P$16</definedName>
    <definedName name="_xlnm._FilterDatabase" localSheetId="2" hidden="1">'Stock Statement'!$A$2:$K$132</definedName>
    <definedName name="_xlnm._FilterDatabase" localSheetId="4" hidden="1">Purchase!$A$6:$Y$45</definedName>
    <definedName name="_xlnm._FilterDatabase" localSheetId="6" hidden="1">Sales!$A$6:$X$68</definedName>
    <definedName name="ABC__def__123">'Database Sheet'!$C$2:$C$9</definedName>
    <definedName name="Address">'Database Sheet'!$C$2:$C$9</definedName>
    <definedName name="Customer_Name" localSheetId="0">'Database Sheet'!$B$2:$B$9</definedName>
    <definedName name="Email">'Database Sheet'!$K$2:$K$9</definedName>
    <definedName name="Email_Address">'Database Sheet'!$K$2:$K$9</definedName>
    <definedName name="GST">'Database Sheet'!$E$2:$E$3</definedName>
    <definedName name="items">OFFSET(#REF!,0,0,MATCH(REPT("z",255),#REF!),1)</definedName>
    <definedName name="items1">OFFSET(#REF!,0,0,MATCH(REPT("z",255),#REF!),1)</definedName>
    <definedName name="New" localSheetId="0">'Database Sheet'!$B$2:$B$9</definedName>
    <definedName name="Phone">'Database Sheet'!$D$2:$D$9</definedName>
    <definedName name="Phone_Number">'Database Sheet'!$D$2:$D$9</definedName>
    <definedName name="valuevx">42.314159</definedName>
    <definedName name="vertex42_copyright" hidden="1">"© 2008-2015 Vertex42 LLC"</definedName>
    <definedName name="vertex42_id" hidden="1">"purchase-order.xlsx"</definedName>
    <definedName name="vertex42_title" hidden="1">"Purchase Order Template"</definedName>
    <definedName name="_xlnm.Print_Area" localSheetId="3">'Purchase Order'!$A$2:$I$48</definedName>
    <definedName name="_xlnm.Print_Area" localSheetId="5">'GST INVOICE'!$A$1:$I$52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<sst xmlns="http://schemas.openxmlformats.org/spreadsheetml/2006/main" count="1115" uniqueCount="563">
  <si>
    <t>No</t>
  </si>
  <si>
    <t>Customer 
contact Person</t>
  </si>
  <si>
    <t>Address</t>
  </si>
  <si>
    <t>Phone</t>
  </si>
  <si>
    <t>CGST</t>
  </si>
  <si>
    <t>SGST</t>
  </si>
  <si>
    <t>IGST</t>
  </si>
  <si>
    <t>GST NO</t>
  </si>
  <si>
    <t>State 
Code</t>
  </si>
  <si>
    <t>State Name</t>
  </si>
  <si>
    <t>Email</t>
  </si>
  <si>
    <t>Payment Terms</t>
  </si>
  <si>
    <t>Delivery</t>
  </si>
  <si>
    <t>Mr.  XYZ</t>
  </si>
  <si>
    <t>XYZ Harness Technologies
Gut.No.96, XYZ Residency,
DELHI-412207</t>
  </si>
  <si>
    <t>88880XXXXX</t>
  </si>
  <si>
    <t>27ABEFA4XXXXX</t>
  </si>
  <si>
    <t>Maharashtra</t>
  </si>
  <si>
    <t>palmatejanhavi@gmail.com</t>
  </si>
  <si>
    <t>Door Delivery</t>
  </si>
  <si>
    <t>* 0 = Immediate</t>
  </si>
  <si>
    <t>Mr. ABC</t>
  </si>
  <si>
    <t>ABC Heaters Pvt. Ltd.
Gut.No.-39, Plot No.-25 to 27, ABC Nagar,  Aurangabad-431001</t>
  </si>
  <si>
    <t>74477XXXXX</t>
  </si>
  <si>
    <t>info@abcheaters.in</t>
  </si>
  <si>
    <t>* Numbers in Days</t>
  </si>
  <si>
    <t>Mr. DEF</t>
  </si>
  <si>
    <t>DEF Master Tool Industries Ltd 
Aurangabad-431001</t>
  </si>
  <si>
    <t>77559XXXXX</t>
  </si>
  <si>
    <t>27AAACDXXXXXXX</t>
  </si>
  <si>
    <t>Mr. HIJ</t>
  </si>
  <si>
    <t>HIJ Manufacturing Industries Ltd.
Aurangabad- 431001</t>
  </si>
  <si>
    <t>70280XXXXX</t>
  </si>
  <si>
    <t>XXXXXXXXX</t>
  </si>
  <si>
    <t>Mr.  LMN</t>
  </si>
  <si>
    <t>LMN PRECISION TOOLS LIMITED
Aurangabad-431001</t>
  </si>
  <si>
    <t>27AAACD139XXXXX</t>
  </si>
  <si>
    <t>Mr. OPQ</t>
  </si>
  <si>
    <t>OPQ Manufacturing Industries Ltd.
Aurangabad- 431001</t>
  </si>
  <si>
    <t>Mrs. RST</t>
  </si>
  <si>
    <t>RST Transformers Pvt. Ltd.
Aurangabad-431001</t>
  </si>
  <si>
    <t>77090XXXXX
89834XXXXX</t>
  </si>
  <si>
    <t>27AARCS705XXXXX</t>
  </si>
  <si>
    <t>Mr.  UVW</t>
  </si>
  <si>
    <t>UVW SwitchGears &amp; Transformers Pvt Ltd
Aurangabad-431001</t>
  </si>
  <si>
    <t>94041XXXXX
92849XXXXX</t>
  </si>
  <si>
    <t>27AADCS241XXXXX</t>
  </si>
  <si>
    <t>Mr.  ABD</t>
  </si>
  <si>
    <t>ABD Engineering Works
Aurangabad-431001</t>
  </si>
  <si>
    <t>93261XXXXX</t>
  </si>
  <si>
    <t>27AFKPC940XXXXX</t>
  </si>
  <si>
    <t>Mr. PVZ</t>
  </si>
  <si>
    <t>PVZ Plasts
Aurangabad-431001</t>
  </si>
  <si>
    <t>95796XXXXX</t>
  </si>
  <si>
    <t>27AARFR936XXXXX</t>
  </si>
  <si>
    <t>Mr.  PQR</t>
  </si>
  <si>
    <t>PQR FORGINGS LIMITED
Aurangabad- 431 001</t>
  </si>
  <si>
    <t>77198XXXXX</t>
  </si>
  <si>
    <t>27AAACV948XXXXX</t>
  </si>
  <si>
    <t>Mr.  BVZ</t>
  </si>
  <si>
    <t>BVZ Enrich Electronics
Aurangabad-431001</t>
  </si>
  <si>
    <t>80557XXXXX
87883XXXXX</t>
  </si>
  <si>
    <t>27AASFB997XXXXX</t>
  </si>
  <si>
    <t>Mr.  TYU</t>
  </si>
  <si>
    <t>TYU Illuminations &amp; Energy Solutions Pvt. Ltd.
Aurangabad- 431001</t>
  </si>
  <si>
    <t>96078XXXXX</t>
  </si>
  <si>
    <t>27AAHCR444XXXXX</t>
  </si>
  <si>
    <t>Mr.QWE</t>
  </si>
  <si>
    <t>QWE Instruments &amp; Transformers Pvt. Ltd.
Aurangabad- 431001</t>
  </si>
  <si>
    <t>98346XXXXX</t>
  </si>
  <si>
    <t>27AAKCP441XXXXX</t>
  </si>
  <si>
    <t>Mr. RTY</t>
  </si>
  <si>
    <t>RTY TECH AURANGABAD PVT LTD
TQ GANGAPUR, DIST AURANGABAD</t>
  </si>
  <si>
    <t>98909XXXXX</t>
  </si>
  <si>
    <t>27AAFCC720XXXXX</t>
  </si>
  <si>
    <t>Mr. BNO</t>
  </si>
  <si>
    <t>BNO Wiring Technologies
Pune-412207</t>
  </si>
  <si>
    <t>98817XXXXX</t>
  </si>
  <si>
    <t>27MPT129XXXXX</t>
  </si>
  <si>
    <t>Sl No</t>
  </si>
  <si>
    <t>Name</t>
  </si>
  <si>
    <t>Contact No.</t>
  </si>
  <si>
    <t>Email ID</t>
  </si>
  <si>
    <t>GSTIN No.</t>
  </si>
  <si>
    <t>Payment Term</t>
  </si>
  <si>
    <t>Freight</t>
  </si>
  <si>
    <t>Contact Person</t>
  </si>
  <si>
    <t>Status</t>
  </si>
  <si>
    <t xml:space="preserve">XYZ Harness Technologies
</t>
  </si>
  <si>
    <t>Gut.No.96, XYZ Residency,
DELHI-412207</t>
  </si>
  <si>
    <t>Advance</t>
  </si>
  <si>
    <t>Godown Delivery</t>
  </si>
  <si>
    <t>Supplier</t>
  </si>
  <si>
    <t>ABC Heaters Pvt. Ltd.</t>
  </si>
  <si>
    <t>Gut.No.-39, Plot No.-25 to 27, ABC Nagar,  Aurangabad-431001</t>
  </si>
  <si>
    <t>OPQ Manufacturing Industries Ltd.E1</t>
  </si>
  <si>
    <t>Aurangabad-431001</t>
  </si>
  <si>
    <t>60 Days</t>
  </si>
  <si>
    <t>Customer</t>
  </si>
  <si>
    <t>LMN Precision tools limited</t>
  </si>
  <si>
    <t>Immediate</t>
  </si>
  <si>
    <t>OPQ Manufacturing Industries Ltd. E-3</t>
  </si>
  <si>
    <t>RST Transformers Pvt. Ltd.</t>
  </si>
  <si>
    <t>77090XXXXX</t>
  </si>
  <si>
    <t>30 Days PDC</t>
  </si>
  <si>
    <t>UVW SwitchGears &amp; Transformers Pvt Ltd</t>
  </si>
  <si>
    <t>94041XXXXX</t>
  </si>
  <si>
    <t>45 Days</t>
  </si>
  <si>
    <t>ABD Engineering Works</t>
  </si>
  <si>
    <t>PQR FORGINGS LIMITED</t>
  </si>
  <si>
    <t>BVZ Enrich Electronics</t>
  </si>
  <si>
    <t>80557XXXXX</t>
  </si>
  <si>
    <t>To Pay</t>
  </si>
  <si>
    <t>TYU Illuminations &amp; Energy Solutions Pvt. Ltd.</t>
  </si>
  <si>
    <t>QWE Instruments &amp; Transformers Pvt. Ltd.</t>
  </si>
  <si>
    <t>30 Days</t>
  </si>
  <si>
    <t>BNO Wiring Technologies</t>
  </si>
  <si>
    <t>Thru  Transport</t>
  </si>
  <si>
    <t>Item code</t>
  </si>
  <si>
    <t>Item name*</t>
  </si>
  <si>
    <t>HSN</t>
  </si>
  <si>
    <t>Op. 
stock
qnty</t>
  </si>
  <si>
    <t>Recd 
qnty</t>
  </si>
  <si>
    <t>Issued
qnty</t>
  </si>
  <si>
    <t>Balance
Qnty</t>
  </si>
  <si>
    <t>GST
%</t>
  </si>
  <si>
    <t>Base 
Unit (x)</t>
  </si>
  <si>
    <t>Closing
Stock 
Value</t>
  </si>
  <si>
    <t>Rate</t>
  </si>
  <si>
    <t>ALCN3550</t>
  </si>
  <si>
    <t>Al.Capacitor Can 35 x 50mm Plain</t>
  </si>
  <si>
    <t>NOS</t>
  </si>
  <si>
    <t>BATCAP01</t>
  </si>
  <si>
    <t>Battery Ter Cap Black</t>
  </si>
  <si>
    <t>BATCAP02</t>
  </si>
  <si>
    <t>Battery Ter Cap Red</t>
  </si>
  <si>
    <t>BBLBG4x4</t>
  </si>
  <si>
    <t>BUBBLE BAG 400MM X 400MM 65GSM</t>
  </si>
  <si>
    <t>BOPPBR48</t>
  </si>
  <si>
    <t xml:space="preserve">BOPP Tape Brown 48mm x 65 mtrs </t>
  </si>
  <si>
    <t>BOPPBR72</t>
  </si>
  <si>
    <t>BOPP Tape Brown 72mm x 65 mtrs</t>
  </si>
  <si>
    <t>BOPPTR18</t>
  </si>
  <si>
    <t>BOPP Tape Transparent 18mm x 100 mtrs</t>
  </si>
  <si>
    <t>BOPPTR24</t>
  </si>
  <si>
    <t>BOPP Tape Transparent 24mm x 65 mtrs</t>
  </si>
  <si>
    <t>BOPPTR48</t>
  </si>
  <si>
    <t>BOPP Tape Transparent 48mm x 65 mtrs</t>
  </si>
  <si>
    <t>BOPPTR72</t>
  </si>
  <si>
    <t>BOPP Tape Transparent 72mm x 65 mtrs</t>
  </si>
  <si>
    <t>CAPSE6.3</t>
  </si>
  <si>
    <t>terminal Cap 6.3 SE</t>
  </si>
  <si>
    <t>CBT10025</t>
  </si>
  <si>
    <t xml:space="preserve">Cable Tie 100mm X 2.5mm </t>
  </si>
  <si>
    <t>CBT15025</t>
  </si>
  <si>
    <t xml:space="preserve">Cable Tie Black 150mm X 2.5mm </t>
  </si>
  <si>
    <t>CBT15036</t>
  </si>
  <si>
    <t xml:space="preserve">Cable Tie Black 150mm X 3.6mm </t>
  </si>
  <si>
    <t>CRPBRN01</t>
  </si>
  <si>
    <t>CRAPE PAPER BROWN 4mil 1 Inch</t>
  </si>
  <si>
    <t>KGS</t>
  </si>
  <si>
    <t>CRPBRN15</t>
  </si>
  <si>
    <t>CRAPE PAPER BROWN 4mil 15 mm</t>
  </si>
  <si>
    <t>DSFETP06</t>
  </si>
  <si>
    <t>Double Sided Foam Tape 20mmX5M</t>
  </si>
  <si>
    <t>DSPETP06</t>
  </si>
  <si>
    <t>Double Sided Polyester Tape 6mmX50M</t>
  </si>
  <si>
    <t>EIGF5010</t>
  </si>
  <si>
    <t>Ele. Insulation Garflex Film 5 mil</t>
  </si>
  <si>
    <t>EIMWP10M</t>
  </si>
  <si>
    <t>Ele. Insulation Film Milky White 10 mil</t>
  </si>
  <si>
    <t>EIPF23X2</t>
  </si>
  <si>
    <t>Electrical Insulation Polyester Film 2 mil</t>
  </si>
  <si>
    <t>EISF5010</t>
  </si>
  <si>
    <t>Electrical Insulation Film F-50 10 mili Electratherm</t>
  </si>
  <si>
    <t>ENDCAP01</t>
  </si>
  <si>
    <t>End Cap Connector</t>
  </si>
  <si>
    <t>EXPSLT13</t>
  </si>
  <si>
    <t>EXPSLT19</t>
  </si>
  <si>
    <t>FGTWAW25</t>
  </si>
  <si>
    <t>FG Tape with Adhesive 25mm X 50Mtrs</t>
  </si>
  <si>
    <t>FLCT1925</t>
  </si>
  <si>
    <t>Fleece Tape Black 19mm X 25Mtrs</t>
  </si>
  <si>
    <t>FMTBLU48</t>
  </si>
  <si>
    <t xml:space="preserve">FloorMarking Tape Blue 48mmX23Mtrs </t>
  </si>
  <si>
    <t>FMTGRN48</t>
  </si>
  <si>
    <t xml:space="preserve">FloorMarking Tape Green 48mmX23Mtrs </t>
  </si>
  <si>
    <t>FMTRED48</t>
  </si>
  <si>
    <t>FloorMarking Tape Red 48mmX23Mtrs</t>
  </si>
  <si>
    <t>FMTZRW48</t>
  </si>
  <si>
    <t xml:space="preserve">FloorMarking Tape Zebra Red-White 48mmX23Mtrs </t>
  </si>
  <si>
    <t>FMTZYB48</t>
  </si>
  <si>
    <t>FloorMarking Tape  Zebra Yellow-Black 48mmX23Mtrs</t>
  </si>
  <si>
    <t>FUMNBL10</t>
  </si>
  <si>
    <t>Fuse Mini Blade 10Amp</t>
  </si>
  <si>
    <t>FUMNBL15</t>
  </si>
  <si>
    <t>Fuse Mini Blade 15Amp</t>
  </si>
  <si>
    <t>FUMNBL20</t>
  </si>
  <si>
    <t>Fuse Mini Blade 20Amp</t>
  </si>
  <si>
    <t>FUSEBL10</t>
  </si>
  <si>
    <t>Fuse Blade 10Amp</t>
  </si>
  <si>
    <t>FUSEBL15</t>
  </si>
  <si>
    <t>Fuse Blade 15Amp</t>
  </si>
  <si>
    <t>FUSEBX01</t>
  </si>
  <si>
    <t>Fuse Box (Glass Fuse)</t>
  </si>
  <si>
    <t>FUSEGL10</t>
  </si>
  <si>
    <t>Fuse Glass 10Amp</t>
  </si>
  <si>
    <t>FUSEGL15</t>
  </si>
  <si>
    <t>Fuse Glass 15Amp</t>
  </si>
  <si>
    <t>HSTBLK01</t>
  </si>
  <si>
    <t xml:space="preserve">HST Black 1mm </t>
  </si>
  <si>
    <t>MTRS</t>
  </si>
  <si>
    <t>HSTBLK02</t>
  </si>
  <si>
    <t xml:space="preserve">HST Black 2mm </t>
  </si>
  <si>
    <t>HSTBLK03</t>
  </si>
  <si>
    <t xml:space="preserve">HST Black 3mm </t>
  </si>
  <si>
    <t>HSTBLK04</t>
  </si>
  <si>
    <t xml:space="preserve">HST Black 4mm </t>
  </si>
  <si>
    <t>HSTBLK05</t>
  </si>
  <si>
    <t xml:space="preserve">HST Black 5mm </t>
  </si>
  <si>
    <t>HSTBLK06</t>
  </si>
  <si>
    <t>HST Black 6mm</t>
  </si>
  <si>
    <t>HSTBLK07</t>
  </si>
  <si>
    <t>HST Black 7mm</t>
  </si>
  <si>
    <t>HSTBLK08</t>
  </si>
  <si>
    <t>HST Black 8mm</t>
  </si>
  <si>
    <t>HSTBLK10</t>
  </si>
  <si>
    <t>HST Black 10mm</t>
  </si>
  <si>
    <t>HSTBLK12</t>
  </si>
  <si>
    <t xml:space="preserve">HST Black 12mm </t>
  </si>
  <si>
    <t>HSTBLK18</t>
  </si>
  <si>
    <t xml:space="preserve">HST Black 18mm </t>
  </si>
  <si>
    <t>HSTBLK20</t>
  </si>
  <si>
    <t xml:space="preserve">HST Black 20mm </t>
  </si>
  <si>
    <t>HSTBLK25</t>
  </si>
  <si>
    <t xml:space="preserve">HST Black 25mm </t>
  </si>
  <si>
    <t>HSTBLK30</t>
  </si>
  <si>
    <t>HST Black 30mm</t>
  </si>
  <si>
    <t>HSTBLK4.5</t>
  </si>
  <si>
    <t xml:space="preserve">HST Black 4.5mm </t>
  </si>
  <si>
    <t>HSTBLK40</t>
  </si>
  <si>
    <t>HST Black 40mm</t>
  </si>
  <si>
    <t>HSTBLK60</t>
  </si>
  <si>
    <t>HST Black 60mm</t>
  </si>
  <si>
    <t>HSTBLK70</t>
  </si>
  <si>
    <t>HST Black 70mm</t>
  </si>
  <si>
    <t>HSTTRT08</t>
  </si>
  <si>
    <t>HST Transparent 8mm</t>
  </si>
  <si>
    <t>HSTWA4.8</t>
  </si>
  <si>
    <t>HST 4.8mm with Adhessive</t>
  </si>
  <si>
    <t>HSTWA6.4</t>
  </si>
  <si>
    <t>HST Black 6.4mm with Adhessive</t>
  </si>
  <si>
    <t>HSTWA7.9</t>
  </si>
  <si>
    <t>HST Black 7.9mm with Adhessive</t>
  </si>
  <si>
    <t>HSTWA9.5</t>
  </si>
  <si>
    <t>HST Black 9.5mm with Adhessive</t>
  </si>
  <si>
    <t>HSTWHT04</t>
  </si>
  <si>
    <t xml:space="preserve">HST White 4mm </t>
  </si>
  <si>
    <t>HTSNKPST</t>
  </si>
  <si>
    <t>HEAT SINK PASTE</t>
  </si>
  <si>
    <t>IRTHGN11</t>
  </si>
  <si>
    <t>Infra Red Thermometer Gun</t>
  </si>
  <si>
    <t>NYLBRS25</t>
  </si>
  <si>
    <t>Nylon Braided Sleeve Black 25mm</t>
  </si>
  <si>
    <t>NYLBRS40</t>
  </si>
  <si>
    <t>Nylon Braided Sleeve Black 40mm</t>
  </si>
  <si>
    <t>OXIMTR01</t>
  </si>
  <si>
    <t>Truevalue Plus Oximeter</t>
  </si>
  <si>
    <t>PDSL4001</t>
  </si>
  <si>
    <t>PIDISEAL SL 4001</t>
  </si>
  <si>
    <t>PLTPGN32</t>
  </si>
  <si>
    <t xml:space="preserve">Polyester Tape Green 32mm </t>
  </si>
  <si>
    <t>PVCSLG05</t>
  </si>
  <si>
    <t>PVC Sleeve 05mm Grey</t>
  </si>
  <si>
    <t>PRMTVS01</t>
  </si>
  <si>
    <t>Prime Tavasya</t>
  </si>
  <si>
    <t>Pairs</t>
  </si>
  <si>
    <t>PRMTVS02</t>
  </si>
  <si>
    <t>Prime Fiar</t>
  </si>
  <si>
    <t>PRMTVS03</t>
  </si>
  <si>
    <t>Prime Sthira</t>
  </si>
  <si>
    <t>PRMTVS04</t>
  </si>
  <si>
    <t>Prime Arista</t>
  </si>
  <si>
    <t>PRMTVS05</t>
  </si>
  <si>
    <t>Prime Impecto</t>
  </si>
  <si>
    <t>PRMTVS06</t>
  </si>
  <si>
    <t>Prime Secure</t>
  </si>
  <si>
    <t>PRMTVS07</t>
  </si>
  <si>
    <t>Prime Seude</t>
  </si>
  <si>
    <t>PVCTBK18</t>
  </si>
  <si>
    <t>PVC Tape Black 18 X 25Mtrs</t>
  </si>
  <si>
    <t>RBRDMP03</t>
  </si>
  <si>
    <t>Rubber Damper 3mm</t>
  </si>
  <si>
    <t>RCT20074</t>
  </si>
  <si>
    <t>Cable Tie Black 200mm X 7.4mm Reusable</t>
  </si>
  <si>
    <t>RCT25075</t>
  </si>
  <si>
    <t>Cable Tie Black 250mm X 7.5mm Reusable</t>
  </si>
  <si>
    <t>RCT31076</t>
  </si>
  <si>
    <t>Cable Tie Black 310mm X 7.6mm Reusable</t>
  </si>
  <si>
    <t>RGRBLK01</t>
  </si>
  <si>
    <t>Rubber Grommet Round Black</t>
  </si>
  <si>
    <t>SANALB5L</t>
  </si>
  <si>
    <t>Sanitizer 5Ltr</t>
  </si>
  <si>
    <t>SANALB5M</t>
  </si>
  <si>
    <t>Sanitizer 500ml (80% Alcohol)</t>
  </si>
  <si>
    <t>SANALB90</t>
  </si>
  <si>
    <t>Sanitizer 90ml (80% Alcohol)</t>
  </si>
  <si>
    <t>SFGHBK04</t>
  </si>
  <si>
    <t>SFG H-Class Black 4mm</t>
  </si>
  <si>
    <t>SFGHBK05</t>
  </si>
  <si>
    <t>SFG H-Class Black 5mm</t>
  </si>
  <si>
    <t>SFGHBK06</t>
  </si>
  <si>
    <t>SFG H-Class Black 6mm</t>
  </si>
  <si>
    <t>SFGHBK08</t>
  </si>
  <si>
    <t>SFG H-Class Black 8mm</t>
  </si>
  <si>
    <t>SFGHBK10</t>
  </si>
  <si>
    <t>SFG H-Class Black 10mm</t>
  </si>
  <si>
    <t>SFGHWT05</t>
  </si>
  <si>
    <t>SFG H-Class White 5mm</t>
  </si>
  <si>
    <t>SFGHYL03</t>
  </si>
  <si>
    <t>SFG H-Class Yellow 3mm</t>
  </si>
  <si>
    <t>SLDFLX01</t>
  </si>
  <si>
    <t>Solder Flux NC400</t>
  </si>
  <si>
    <t>Ltrs</t>
  </si>
  <si>
    <t>SLDIPA01</t>
  </si>
  <si>
    <t>Indrayani Industrial Suppliers</t>
  </si>
  <si>
    <t>SLDPOT30</t>
  </si>
  <si>
    <t>Solder Pot 3k</t>
  </si>
  <si>
    <t>SLDPST09</t>
  </si>
  <si>
    <t>Lead free Solder Paste</t>
  </si>
  <si>
    <t>SLDROD01</t>
  </si>
  <si>
    <t>Solder Rod 63/37</t>
  </si>
  <si>
    <t>SLDWIR01</t>
  </si>
  <si>
    <t xml:space="preserve">Solder Wire </t>
  </si>
  <si>
    <t>SODHYP10</t>
  </si>
  <si>
    <t>Sodium Hypochlorite</t>
  </si>
  <si>
    <t>SPRLTB04</t>
  </si>
  <si>
    <t>Spiral Tube 4mm</t>
  </si>
  <si>
    <t>bundles</t>
  </si>
  <si>
    <t>SPRLTB10</t>
  </si>
  <si>
    <t>Spiral Tube 10mm</t>
  </si>
  <si>
    <t>SPRLTB12</t>
  </si>
  <si>
    <t>Spiral Tube 12mm</t>
  </si>
  <si>
    <t>STRFM100</t>
  </si>
  <si>
    <t>Stretch Film 100mm</t>
  </si>
  <si>
    <t>STRFM300</t>
  </si>
  <si>
    <t>Stretch Film 300mm</t>
  </si>
  <si>
    <t>STRFM500</t>
  </si>
  <si>
    <t>Stretch Film 500mm</t>
  </si>
  <si>
    <t>TWSTBK06</t>
  </si>
  <si>
    <t>Twist Tube 6mm</t>
  </si>
  <si>
    <t>TWSTBK08</t>
  </si>
  <si>
    <t>Twist Tube 08mm</t>
  </si>
  <si>
    <t>TWSTBK10</t>
  </si>
  <si>
    <t>Twist Tube 10mm</t>
  </si>
  <si>
    <t>TWSTBK12</t>
  </si>
  <si>
    <t>Twist Tube 12mm</t>
  </si>
  <si>
    <t>VFGFBK03</t>
  </si>
  <si>
    <t>VFG F-Class Black 3mm</t>
  </si>
  <si>
    <t>VFGFBK04</t>
  </si>
  <si>
    <t>VFG F-Class Black 4mm</t>
  </si>
  <si>
    <t>VFGFBK05</t>
  </si>
  <si>
    <t>VFG F-Class Black 5mm</t>
  </si>
  <si>
    <t>VFGFBK06</t>
  </si>
  <si>
    <t>VFG F-Class Black 6mm</t>
  </si>
  <si>
    <t>VFGFBK08</t>
  </si>
  <si>
    <t>VFG F-Class Black 8mm</t>
  </si>
  <si>
    <t>VFGFBK09</t>
  </si>
  <si>
    <t>VFG F-Class Black 9mm</t>
  </si>
  <si>
    <t>VFGFBL03</t>
  </si>
  <si>
    <t>VFG F-Class Blue 3mm</t>
  </si>
  <si>
    <t>VFGFRD04</t>
  </si>
  <si>
    <t>VFG F-Class Red 4mm</t>
  </si>
  <si>
    <t>VFGFWT01</t>
  </si>
  <si>
    <t>VFG F-Class White 1mm</t>
  </si>
  <si>
    <t>VFGFWT02</t>
  </si>
  <si>
    <t>VFG F-Class White 2mm</t>
  </si>
  <si>
    <t>VFGFWT03</t>
  </si>
  <si>
    <t>VFG F-Class White 3mm</t>
  </si>
  <si>
    <t>VFGFWT04</t>
  </si>
  <si>
    <t>VFG F-Class White 4mm</t>
  </si>
  <si>
    <t>VFGFY2.5</t>
  </si>
  <si>
    <t>VFG F-Class Yellow 2.5mm</t>
  </si>
  <si>
    <t>VFGFYL02</t>
  </si>
  <si>
    <t>VFG F-Class Yellow 2mm</t>
  </si>
  <si>
    <t>VFGFYL03</t>
  </si>
  <si>
    <t>VFG F-Class Yellow 3mm</t>
  </si>
  <si>
    <t>WLTP2515</t>
  </si>
  <si>
    <t>Wool Tape 25 x 15</t>
  </si>
  <si>
    <t>WRSTRP01</t>
  </si>
  <si>
    <t>Wire Stripper</t>
  </si>
  <si>
    <t>Advantage Industrial Suppliers</t>
  </si>
  <si>
    <t>Dayanand Complex ,Beed Bypass ,Chhatrapati Sambhajinagar</t>
  </si>
  <si>
    <t>Contact No. +91 90XXXXXXXX</t>
  </si>
  <si>
    <t>GSTIN : 27AMBNHJGFDRTYN</t>
  </si>
  <si>
    <t>Purchase Order</t>
  </si>
  <si>
    <t>Supplier Details</t>
  </si>
  <si>
    <t>Supplier Code</t>
  </si>
  <si>
    <t>PO No</t>
  </si>
  <si>
    <t>AIS/22-23/016</t>
  </si>
  <si>
    <t>PO Date</t>
  </si>
  <si>
    <t>Quotation No.</t>
  </si>
  <si>
    <t>Quotation Date</t>
  </si>
  <si>
    <t>GSTIN :</t>
  </si>
  <si>
    <t>State :</t>
  </si>
  <si>
    <t>E-mail id :</t>
  </si>
  <si>
    <t>Contact:</t>
  </si>
  <si>
    <t>immediate</t>
  </si>
  <si>
    <t>Transport</t>
  </si>
  <si>
    <t>ACPL Waluj Godown</t>
  </si>
  <si>
    <t>Payment:</t>
  </si>
  <si>
    <t>Freight:</t>
  </si>
  <si>
    <t>Part No</t>
  </si>
  <si>
    <t>Description</t>
  </si>
  <si>
    <t>HSN/SAC</t>
  </si>
  <si>
    <t>Qty</t>
  </si>
  <si>
    <t>Unit</t>
  </si>
  <si>
    <t>Amount</t>
  </si>
  <si>
    <t>Terms &amp; Conditions</t>
  </si>
  <si>
    <t>SubTotal</t>
  </si>
  <si>
    <t xml:space="preserve">Packing                </t>
  </si>
  <si>
    <t>: Goods Supplied Must be suffieciently &amp; properly packed so as to ensure absence of  loss or damage on arraival at the point of delivery of specified in order.</t>
  </si>
  <si>
    <t>Total</t>
  </si>
  <si>
    <t xml:space="preserve">Inspection            </t>
  </si>
  <si>
    <t>: Goods not approved on inspection, either with regard to quality or quantity or both shall be rejected and the supplier shall collect the goods within 15 days of notification.</t>
  </si>
  <si>
    <t xml:space="preserve">Jurisdiction         </t>
  </si>
  <si>
    <t>: Subjected to Aurangabad Jurisdiction.</t>
  </si>
  <si>
    <t>Owner: G P Palmate</t>
  </si>
  <si>
    <t>Un- Billed</t>
  </si>
  <si>
    <t>Inw
No.</t>
  </si>
  <si>
    <t>Inw
Date</t>
  </si>
  <si>
    <t>SUP.
Code</t>
  </si>
  <si>
    <t>Supplier Name</t>
  </si>
  <si>
    <t>Invoice
No.</t>
  </si>
  <si>
    <t>Invoice 
Date</t>
  </si>
  <si>
    <t>Value</t>
  </si>
  <si>
    <t>Sub Total</t>
  </si>
  <si>
    <t>Round off</t>
  </si>
  <si>
    <t>Amount
Paid</t>
  </si>
  <si>
    <t>Mode of
Payment</t>
  </si>
  <si>
    <t>Amount
Balance</t>
  </si>
  <si>
    <t>Landed
Price</t>
  </si>
  <si>
    <t>Due Date</t>
  </si>
  <si>
    <t>NEFT-03.05.24</t>
  </si>
  <si>
    <t>NEFT-21.06.24</t>
  </si>
  <si>
    <t>AEW-2024/25-0028</t>
  </si>
  <si>
    <t>AEW-2024/25-0056</t>
  </si>
  <si>
    <t>NEFT-09.07.24</t>
  </si>
  <si>
    <t>PD/120/24-25</t>
  </si>
  <si>
    <t>NEFT-06.05.24</t>
  </si>
  <si>
    <t>AEW-2024/25-0089</t>
  </si>
  <si>
    <t>NEFT-06.08.24</t>
  </si>
  <si>
    <t>NEFT-19.07.24</t>
  </si>
  <si>
    <t>AEW-2024/25-0121</t>
  </si>
  <si>
    <t>AEW-2024/25-0147</t>
  </si>
  <si>
    <t>NEFT-25.09.24</t>
  </si>
  <si>
    <t>NEFT-10.09.24</t>
  </si>
  <si>
    <t>AEW-2024/25-0168</t>
  </si>
  <si>
    <t>R0467</t>
  </si>
  <si>
    <t>AEW-2024/25-0219</t>
  </si>
  <si>
    <t>NEFT-30.10.24</t>
  </si>
  <si>
    <t>AEW-2024/25-0227</t>
  </si>
  <si>
    <t>AEW-2024/25-0258</t>
  </si>
  <si>
    <t>NEFT-20.12.24</t>
  </si>
  <si>
    <t>NEFT-20.10.24</t>
  </si>
  <si>
    <t>NEFT-11.12.24</t>
  </si>
  <si>
    <t>PD/699/23-24</t>
  </si>
  <si>
    <t>NEFT-10.10.24</t>
  </si>
  <si>
    <t>24-25/G1651</t>
  </si>
  <si>
    <t>R0702</t>
  </si>
  <si>
    <t>NEFT-29.11.24</t>
  </si>
  <si>
    <t>AEW-2024/25-0307</t>
  </si>
  <si>
    <t>AEW-2024/25-0304</t>
  </si>
  <si>
    <t>NEFT-14.01.24</t>
  </si>
  <si>
    <t>AEW-2024/25-0319</t>
  </si>
  <si>
    <t>AEW-2024/25-0329</t>
  </si>
  <si>
    <t>AEW-2024/25-0390</t>
  </si>
  <si>
    <t>24-25/1413</t>
  </si>
  <si>
    <t>AEW-2024/25-0392</t>
  </si>
  <si>
    <t>NEFT-26.12.24</t>
  </si>
  <si>
    <t>R0930</t>
  </si>
  <si>
    <t>Original / Duplicate / Triplicate</t>
  </si>
  <si>
    <t xml:space="preserve"> Chhatrapati Sambhajinagar-431010</t>
  </si>
  <si>
    <t>GSTIN : 27AMHPK0768N1ZJ</t>
  </si>
  <si>
    <t xml:space="preserve"> TAX INVOICE</t>
  </si>
  <si>
    <t>Consignee</t>
  </si>
  <si>
    <t>Customer Code</t>
  </si>
  <si>
    <t>Invoice
 No</t>
  </si>
  <si>
    <t>AIS/2024-25/077</t>
  </si>
  <si>
    <t>PO NO</t>
  </si>
  <si>
    <t>GSTIN  :</t>
  </si>
  <si>
    <t>State</t>
  </si>
  <si>
    <t>Code</t>
  </si>
  <si>
    <t>Ship To</t>
  </si>
  <si>
    <t>Terms</t>
  </si>
  <si>
    <t>Payment</t>
  </si>
  <si>
    <t>Door
Delivery</t>
  </si>
  <si>
    <t>Jurisdiction</t>
  </si>
  <si>
    <t>Chhatrapati Sambhajinagar</t>
  </si>
  <si>
    <t>Mode Of
Delivery</t>
  </si>
  <si>
    <t>By Hand</t>
  </si>
  <si>
    <t xml:space="preserve">Total Tax in Words: </t>
  </si>
  <si>
    <t>Rs.Two Thousand Twenty Eight  &amp; Paise Sixty Only</t>
  </si>
  <si>
    <t>Taxable Amount</t>
  </si>
  <si>
    <t>Payment Must Be made Strictly within the terms mutually aggreed upon.
 Interest on Overdue Payment will be charged @24%P.A.</t>
  </si>
  <si>
    <t xml:space="preserve">Total Tax </t>
  </si>
  <si>
    <t>Round Up</t>
  </si>
  <si>
    <t>Total Amount</t>
  </si>
  <si>
    <t>Total Chargeable Amount In words:  Rs. Thirteen Thousand Two Hundred Ninety Nine Only</t>
  </si>
  <si>
    <t>Branch      :</t>
  </si>
  <si>
    <t>Jalna Road Chhatrapati Sambhajinagar (0709)</t>
  </si>
  <si>
    <t>:  070902000002177</t>
  </si>
  <si>
    <t>:  IOBA0000709</t>
  </si>
  <si>
    <t>Receiver's Signature
Received Material In Good Condition</t>
  </si>
  <si>
    <t>Un-Billed</t>
  </si>
  <si>
    <t>OUT
No.</t>
  </si>
  <si>
    <t>Invoice No.</t>
  </si>
  <si>
    <t>Invoice
 Date</t>
  </si>
  <si>
    <t>CUS.
Code</t>
  </si>
  <si>
    <t>Customer Name</t>
  </si>
  <si>
    <t>Item
Code</t>
  </si>
  <si>
    <t>Sub
Total</t>
  </si>
  <si>
    <t>Round
up</t>
  </si>
  <si>
    <t>Paid
Thru</t>
  </si>
  <si>
    <t>Payment
Date</t>
  </si>
  <si>
    <t>Recd
Amt</t>
  </si>
  <si>
    <t>Bal.
Amt</t>
  </si>
  <si>
    <t>AIS/2024-25/003</t>
  </si>
  <si>
    <t>NEFT</t>
  </si>
  <si>
    <t>AIS/2024-25/004</t>
  </si>
  <si>
    <t>AIS/2024-25/006</t>
  </si>
  <si>
    <t>AIS/2024-25/009</t>
  </si>
  <si>
    <t>AIS/2024-25/013</t>
  </si>
  <si>
    <t>AIS/2024-25/016</t>
  </si>
  <si>
    <t>AIS/2024-25/019</t>
  </si>
  <si>
    <t>AIS/2024-25/020</t>
  </si>
  <si>
    <t>AIS/2024-25/021</t>
  </si>
  <si>
    <t>AIS/2024-25/022</t>
  </si>
  <si>
    <t>AIS/2024-25/023</t>
  </si>
  <si>
    <t>AIS/2024-25/024</t>
  </si>
  <si>
    <t>AIS/2024-25/025</t>
  </si>
  <si>
    <t>AIS/2024-25/027</t>
  </si>
  <si>
    <t>AIS/2024-25/028</t>
  </si>
  <si>
    <t>AIS/2024-25/030</t>
  </si>
  <si>
    <t>AIS/2024-25/031</t>
  </si>
  <si>
    <t>AIS/2024-25/032</t>
  </si>
  <si>
    <t>AIS/2024-25/035</t>
  </si>
  <si>
    <t>AIS/2024-25/036</t>
  </si>
  <si>
    <t>AIS/2024-25/037</t>
  </si>
  <si>
    <t>AIS/2024-25/039</t>
  </si>
  <si>
    <t>09-11-2023
09-12-2023</t>
  </si>
  <si>
    <t>AIS/2024-25/040</t>
  </si>
  <si>
    <t>AIS/2024-25/043</t>
  </si>
  <si>
    <t>AIS/2024-25/045</t>
  </si>
  <si>
    <t>AIS/2024-25/046</t>
  </si>
  <si>
    <t>AIS/2024-25/050</t>
  </si>
  <si>
    <t>AIS/2024-25/052</t>
  </si>
  <si>
    <t>canceled</t>
  </si>
  <si>
    <t>AIS/2024-25/053</t>
  </si>
  <si>
    <t>AIS/2024-25/054</t>
  </si>
  <si>
    <t>AIS/2024-25/055</t>
  </si>
  <si>
    <t>AIS/2024-25/058</t>
  </si>
  <si>
    <t>AIS/2024-25/060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</si>
</sst>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[$₹-4009]\ #,##0.00"/>
    <numFmt numFmtId="182" formatCode="0.0%"/>
    <numFmt numFmtId="183" formatCode="[$₹-4009]\ #,##0"/>
    <numFmt numFmtId="184" formatCode="[$₹-4009]\ #,##0.00;[$₹-4009]\ \-#,##0.00"/>
  </numFmts>
  <fonts count="86">
    <font>
      <sz val="11"/>
      <color theme="1"/>
      <name val="Calibri"/>
      <charset val="134"/>
      <scheme val="minor"/>
    </font>
    <font>
      <b/>
      <sz val="10"/>
      <color theme="1"/>
      <name val="Cambria"/>
      <charset val="134"/>
      <scheme val="major"/>
    </font>
    <font>
      <sz val="10"/>
      <color theme="1"/>
      <name val="Cambria"/>
      <charset val="134"/>
      <scheme val="major"/>
    </font>
    <font>
      <sz val="10"/>
      <color rgb="FF006100"/>
      <name val="Calibri"/>
      <charset val="134"/>
      <scheme val="minor"/>
    </font>
    <font>
      <sz val="10"/>
      <color rgb="FF9C0006"/>
      <name val="Calibri"/>
      <charset val="134"/>
      <scheme val="minor"/>
    </font>
    <font>
      <b/>
      <sz val="10"/>
      <color rgb="FFFF0000"/>
      <name val="Cambria"/>
      <charset val="134"/>
      <scheme val="major"/>
    </font>
    <font>
      <sz val="11"/>
      <color theme="1"/>
      <name val="Cambria"/>
      <charset val="134"/>
      <scheme val="major"/>
    </font>
    <font>
      <b/>
      <sz val="22"/>
      <color theme="1"/>
      <name val="Cambria"/>
      <charset val="134"/>
    </font>
    <font>
      <b/>
      <sz val="11"/>
      <color theme="1"/>
      <name val="Cambria"/>
      <charset val="134"/>
    </font>
    <font>
      <sz val="16"/>
      <color theme="1"/>
      <name val="Bahnschrift SemiBold SemiConden"/>
      <charset val="134"/>
    </font>
    <font>
      <b/>
      <sz val="12"/>
      <color theme="1"/>
      <name val="Cambria"/>
      <charset val="134"/>
    </font>
    <font>
      <b/>
      <sz val="11"/>
      <color theme="1"/>
      <name val="Cambria"/>
      <charset val="134"/>
      <scheme val="major"/>
    </font>
    <font>
      <sz val="22"/>
      <color theme="1"/>
      <name val="Cambria"/>
      <charset val="134"/>
      <scheme val="major"/>
    </font>
    <font>
      <b/>
      <sz val="8"/>
      <color theme="1"/>
      <name val="Cambria"/>
      <charset val="134"/>
      <scheme val="major"/>
    </font>
    <font>
      <sz val="11"/>
      <color rgb="FF000000"/>
      <name val="Cambria"/>
      <charset val="134"/>
      <scheme val="major"/>
    </font>
    <font>
      <b/>
      <sz val="10.5"/>
      <color theme="1"/>
      <name val="Cambria"/>
      <charset val="134"/>
      <scheme val="major"/>
    </font>
    <font>
      <u/>
      <sz val="10"/>
      <color theme="1"/>
      <name val="Cambria"/>
      <charset val="134"/>
      <scheme val="major"/>
    </font>
    <font>
      <sz val="8"/>
      <color theme="1"/>
      <name val="Cambria"/>
      <charset val="134"/>
      <scheme val="major"/>
    </font>
    <font>
      <b/>
      <sz val="18"/>
      <color theme="1"/>
      <name val="Cambria"/>
      <charset val="134"/>
    </font>
    <font>
      <b/>
      <sz val="10"/>
      <color theme="1"/>
      <name val="Cambria"/>
      <charset val="134"/>
    </font>
    <font>
      <b/>
      <sz val="18"/>
      <color rgb="FFFF0000"/>
      <name val="Cambria"/>
      <charset val="134"/>
    </font>
    <font>
      <sz val="16"/>
      <color theme="1"/>
      <name val="Cambria"/>
      <charset val="134"/>
    </font>
    <font>
      <sz val="9.5"/>
      <color theme="1"/>
      <name val="Cambria"/>
      <charset val="134"/>
    </font>
    <font>
      <sz val="8"/>
      <color theme="1"/>
      <name val="Cambria"/>
      <charset val="134"/>
    </font>
    <font>
      <sz val="8"/>
      <name val="Cambria"/>
      <charset val="134"/>
    </font>
    <font>
      <sz val="10"/>
      <color theme="1"/>
      <name val="Cambria"/>
      <charset val="134"/>
    </font>
    <font>
      <sz val="11"/>
      <color theme="1"/>
      <name val="Cambria"/>
      <charset val="134"/>
    </font>
    <font>
      <b/>
      <sz val="11"/>
      <name val="Cambria"/>
      <charset val="134"/>
    </font>
    <font>
      <sz val="10"/>
      <color rgb="FF000000"/>
      <name val="Cambria"/>
      <charset val="134"/>
      <scheme val="major"/>
    </font>
    <font>
      <sz val="10"/>
      <name val="Cambria"/>
      <charset val="134"/>
    </font>
    <font>
      <sz val="11"/>
      <name val="Cambria"/>
      <charset val="134"/>
    </font>
    <font>
      <b/>
      <u/>
      <sz val="11"/>
      <color theme="1"/>
      <name val="Cambria"/>
      <charset val="134"/>
    </font>
    <font>
      <b/>
      <sz val="8"/>
      <color theme="1"/>
      <name val="Cambria"/>
      <charset val="134"/>
    </font>
    <font>
      <sz val="10"/>
      <color rgb="FF000000"/>
      <name val="Calibri"/>
      <charset val="134"/>
      <scheme val="minor"/>
    </font>
    <font>
      <b/>
      <sz val="10"/>
      <color rgb="FFFFFFFF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2"/>
      <color theme="1"/>
      <name val="Calibri"/>
      <charset val="134"/>
    </font>
    <font>
      <sz val="12"/>
      <color theme="5" tint="-0.249977111117893"/>
      <name val="Calibri"/>
      <charset val="134"/>
    </font>
    <font>
      <sz val="12"/>
      <color theme="6" tint="-0.499984740745262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sz val="8"/>
      <color rgb="FF000000"/>
      <name val="Calibri"/>
      <charset val="134"/>
    </font>
    <font>
      <b/>
      <sz val="12"/>
      <color rgb="FFFFFFFF"/>
      <name val="Calibri"/>
      <charset val="134"/>
    </font>
    <font>
      <b/>
      <sz val="12"/>
      <color theme="1"/>
      <name val="Calibri"/>
      <charset val="134"/>
    </font>
    <font>
      <u/>
      <sz val="11"/>
      <color theme="1"/>
      <name val="Calibri"/>
      <charset val="134"/>
      <scheme val="minor"/>
    </font>
    <font>
      <b/>
      <sz val="12"/>
      <color theme="5" tint="-0.249977111117893"/>
      <name val="Calibri"/>
      <charset val="134"/>
    </font>
    <font>
      <u/>
      <sz val="11"/>
      <color theme="5" tint="-0.249977111117893"/>
      <name val="Calibri"/>
      <charset val="134"/>
      <scheme val="minor"/>
    </font>
    <font>
      <b/>
      <u/>
      <sz val="12"/>
      <color theme="1"/>
      <name val="Calibri"/>
      <charset val="134"/>
    </font>
    <font>
      <b/>
      <sz val="12"/>
      <color theme="6" tint="-0.499984740745262"/>
      <name val="Calibri"/>
      <charset val="134"/>
    </font>
    <font>
      <u/>
      <sz val="12"/>
      <color theme="10"/>
      <name val="Calibri"/>
      <charset val="134"/>
    </font>
    <font>
      <b/>
      <sz val="11"/>
      <color theme="6" tint="-0.499984740745262"/>
      <name val="Calibri"/>
      <charset val="134"/>
    </font>
    <font>
      <u/>
      <sz val="11"/>
      <color theme="6" tint="-0.499984740745262"/>
      <name val="Calibri"/>
      <charset val="134"/>
    </font>
    <font>
      <b/>
      <u/>
      <sz val="12"/>
      <color theme="6" tint="-0.499984740745262"/>
      <name val="Calibri"/>
      <charset val="134"/>
    </font>
    <font>
      <u/>
      <sz val="12"/>
      <color theme="6" tint="-0.499984740745262"/>
      <name val="Calibri"/>
      <charset val="134"/>
    </font>
    <font>
      <sz val="11"/>
      <color theme="6" tint="-0.499984740745262"/>
      <name val="Calibri"/>
      <charset val="134"/>
    </font>
    <font>
      <u/>
      <sz val="11"/>
      <color theme="6" tint="-0.499984740745262"/>
      <name val="Calibri"/>
      <charset val="134"/>
      <scheme val="minor"/>
    </font>
    <font>
      <b/>
      <sz val="8"/>
      <color rgb="FFFFFFFF"/>
      <name val="Calibri"/>
      <charset val="134"/>
    </font>
    <font>
      <sz val="8"/>
      <color theme="1"/>
      <name val="Calibri"/>
      <charset val="134"/>
    </font>
    <font>
      <sz val="8"/>
      <color theme="5" tint="-0.249977111117893"/>
      <name val="Calibri"/>
      <charset val="134"/>
    </font>
    <font>
      <sz val="8"/>
      <color theme="6" tint="-0.499984740745262"/>
      <name val="Calibri"/>
      <charset val="134"/>
    </font>
    <font>
      <b/>
      <sz val="8"/>
      <color theme="6" tint="-0.499984740745262"/>
      <name val="Calibri"/>
      <charset val="134"/>
    </font>
    <font>
      <b/>
      <sz val="12"/>
      <color theme="1"/>
      <name val="Cambria"/>
      <charset val="134"/>
      <scheme val="major"/>
    </font>
    <font>
      <u/>
      <sz val="11"/>
      <color theme="10"/>
      <name val="Calibri"/>
      <charset val="134"/>
      <scheme val="minor"/>
    </font>
    <font>
      <sz val="11"/>
      <color rgb="FFFF0000"/>
      <name val="Cambria"/>
      <charset val="134"/>
      <scheme val="major"/>
    </font>
    <font>
      <b/>
      <u/>
      <sz val="11"/>
      <color theme="10"/>
      <name val="Cambria"/>
      <charset val="134"/>
      <scheme val="major"/>
    </font>
    <font>
      <b/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Trebuchet MS"/>
      <charset val="134"/>
    </font>
    <font>
      <sz val="12"/>
      <color rgb="FF000000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D82B8"/>
        <bgColor rgb="FF4D82B8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176" fontId="67" fillId="0" borderId="0" applyFont="0" applyFill="0" applyBorder="0" applyAlignment="0" applyProtection="0">
      <alignment vertical="center"/>
    </xf>
    <xf numFmtId="177" fontId="0" fillId="0" borderId="0"/>
    <xf numFmtId="9" fontId="0" fillId="0" borderId="0"/>
    <xf numFmtId="178" fontId="67" fillId="0" borderId="0" applyFont="0" applyFill="0" applyBorder="0" applyAlignment="0" applyProtection="0">
      <alignment vertical="center"/>
    </xf>
    <xf numFmtId="179" fontId="67" fillId="0" borderId="0" applyFont="0" applyFill="0" applyBorder="0" applyAlignment="0" applyProtection="0">
      <alignment vertical="center"/>
    </xf>
    <xf numFmtId="0" fontId="63" fillId="0" borderId="0"/>
    <xf numFmtId="0" fontId="68" fillId="0" borderId="0" applyNumberFormat="0" applyFill="0" applyBorder="0" applyAlignment="0" applyProtection="0">
      <alignment vertical="center"/>
    </xf>
    <xf numFmtId="0" fontId="0" fillId="5" borderId="6"/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47" applyNumberFormat="0" applyFill="0" applyAlignment="0" applyProtection="0">
      <alignment vertical="center"/>
    </xf>
    <xf numFmtId="0" fontId="73" fillId="0" borderId="47" applyNumberFormat="0" applyFill="0" applyAlignment="0" applyProtection="0">
      <alignment vertical="center"/>
    </xf>
    <xf numFmtId="0" fontId="74" fillId="0" borderId="48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6" borderId="49" applyNumberFormat="0" applyAlignment="0" applyProtection="0">
      <alignment vertical="center"/>
    </xf>
    <xf numFmtId="0" fontId="76" fillId="7" borderId="50" applyNumberFormat="0" applyAlignment="0" applyProtection="0">
      <alignment vertical="center"/>
    </xf>
    <xf numFmtId="0" fontId="77" fillId="7" borderId="49" applyNumberFormat="0" applyAlignment="0" applyProtection="0">
      <alignment vertical="center"/>
    </xf>
    <xf numFmtId="0" fontId="78" fillId="8" borderId="51" applyNumberFormat="0" applyAlignment="0" applyProtection="0">
      <alignment vertical="center"/>
    </xf>
    <xf numFmtId="0" fontId="79" fillId="0" borderId="52" applyNumberFormat="0" applyFill="0" applyAlignment="0" applyProtection="0">
      <alignment vertical="center"/>
    </xf>
    <xf numFmtId="0" fontId="80" fillId="0" borderId="53" applyNumberFormat="0" applyFill="0" applyAlignment="0" applyProtection="0">
      <alignment vertical="center"/>
    </xf>
    <xf numFmtId="0" fontId="3" fillId="9" borderId="0"/>
    <xf numFmtId="0" fontId="4" fillId="10" borderId="0"/>
    <xf numFmtId="0" fontId="81" fillId="11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8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2" fillId="23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3" fillId="29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4" borderId="0" applyNumberFormat="0" applyBorder="0" applyAlignment="0" applyProtection="0">
      <alignment vertical="center"/>
    </xf>
    <xf numFmtId="0" fontId="82" fillId="35" borderId="0" applyNumberFormat="0" applyBorder="0" applyAlignment="0" applyProtection="0">
      <alignment vertical="center"/>
    </xf>
    <xf numFmtId="0" fontId="0" fillId="0" borderId="0"/>
    <xf numFmtId="0" fontId="84" fillId="0" borderId="0"/>
    <xf numFmtId="177" fontId="0" fillId="0" borderId="0"/>
    <xf numFmtId="9" fontId="84" fillId="0" borderId="0"/>
    <xf numFmtId="0" fontId="63" fillId="0" borderId="0"/>
    <xf numFmtId="0" fontId="85" fillId="0" borderId="0"/>
  </cellStyleXfs>
  <cellXfs count="38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22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3" fillId="2" borderId="2" xfId="22" applyFill="1" applyBorder="1" applyAlignment="1">
      <alignment horizontal="center" vertical="center"/>
    </xf>
    <xf numFmtId="0" fontId="3" fillId="2" borderId="2" xfId="22" applyFill="1" applyBorder="1" applyAlignment="1">
      <alignment vertical="center"/>
    </xf>
    <xf numFmtId="180" fontId="3" fillId="2" borderId="4" xfId="22" applyNumberFormat="1" applyFill="1" applyBorder="1" applyAlignment="1">
      <alignment vertical="center"/>
    </xf>
    <xf numFmtId="1" fontId="3" fillId="2" borderId="4" xfId="22" applyNumberFormat="1" applyFill="1" applyBorder="1" applyAlignment="1">
      <alignment horizontal="center" vertical="center"/>
    </xf>
    <xf numFmtId="0" fontId="3" fillId="2" borderId="2" xfId="22" applyFill="1" applyBorder="1" applyAlignment="1">
      <alignment vertical="center" wrapText="1"/>
    </xf>
    <xf numFmtId="0" fontId="3" fillId="2" borderId="5" xfId="22" applyFill="1" applyBorder="1" applyAlignment="1">
      <alignment vertical="center"/>
    </xf>
    <xf numFmtId="0" fontId="4" fillId="2" borderId="2" xfId="23" applyFill="1" applyBorder="1" applyAlignment="1">
      <alignment horizontal="center" vertical="center"/>
    </xf>
    <xf numFmtId="0" fontId="4" fillId="2" borderId="2" xfId="23" applyFill="1" applyBorder="1" applyAlignment="1">
      <alignment vertical="center"/>
    </xf>
    <xf numFmtId="180" fontId="4" fillId="2" borderId="4" xfId="23" applyNumberFormat="1" applyFill="1" applyBorder="1" applyAlignment="1">
      <alignment vertical="center"/>
    </xf>
    <xf numFmtId="1" fontId="4" fillId="2" borderId="4" xfId="23" applyNumberFormat="1" applyFill="1" applyBorder="1" applyAlignment="1">
      <alignment horizontal="center" vertical="center"/>
    </xf>
    <xf numFmtId="0" fontId="4" fillId="2" borderId="2" xfId="23" applyFill="1" applyBorder="1" applyAlignment="1">
      <alignment vertical="center" wrapText="1"/>
    </xf>
    <xf numFmtId="0" fontId="4" fillId="2" borderId="6" xfId="8" applyFont="1" applyFill="1" applyAlignment="1">
      <alignment horizontal="center" vertical="center"/>
    </xf>
    <xf numFmtId="0" fontId="4" fillId="2" borderId="6" xfId="8" applyFont="1" applyFill="1" applyAlignment="1">
      <alignment vertical="center"/>
    </xf>
    <xf numFmtId="180" fontId="4" fillId="2" borderId="6" xfId="8" applyNumberFormat="1" applyFont="1" applyFill="1" applyAlignment="1">
      <alignment vertical="center"/>
    </xf>
    <xf numFmtId="1" fontId="4" fillId="2" borderId="6" xfId="8" applyNumberFormat="1" applyFont="1" applyFill="1" applyAlignment="1">
      <alignment horizontal="center" vertical="center"/>
    </xf>
    <xf numFmtId="0" fontId="4" fillId="2" borderId="6" xfId="8" applyFont="1" applyFill="1" applyAlignment="1">
      <alignment vertical="center" wrapText="1"/>
    </xf>
    <xf numFmtId="0" fontId="3" fillId="2" borderId="7" xfId="22" applyFill="1" applyBorder="1" applyAlignment="1">
      <alignment horizontal="center" vertical="center" wrapText="1"/>
    </xf>
    <xf numFmtId="181" fontId="3" fillId="2" borderId="7" xfId="22" applyNumberFormat="1" applyFill="1" applyBorder="1" applyAlignment="1">
      <alignment vertical="center"/>
    </xf>
    <xf numFmtId="181" fontId="3" fillId="2" borderId="2" xfId="22" applyNumberFormat="1" applyFill="1" applyBorder="1" applyAlignment="1">
      <alignment vertical="center"/>
    </xf>
    <xf numFmtId="181" fontId="3" fillId="2" borderId="2" xfId="22" applyNumberFormat="1" applyFill="1" applyBorder="1" applyAlignment="1">
      <alignment horizontal="right" vertical="center"/>
    </xf>
    <xf numFmtId="0" fontId="4" fillId="2" borderId="7" xfId="23" applyFill="1" applyBorder="1" applyAlignment="1">
      <alignment horizontal="center" vertical="center" wrapText="1"/>
    </xf>
    <xf numFmtId="181" fontId="4" fillId="2" borderId="7" xfId="23" applyNumberFormat="1" applyFill="1" applyBorder="1" applyAlignment="1">
      <alignment vertical="center"/>
    </xf>
    <xf numFmtId="181" fontId="4" fillId="2" borderId="2" xfId="23" applyNumberFormat="1" applyFill="1" applyBorder="1" applyAlignment="1">
      <alignment vertical="center"/>
    </xf>
    <xf numFmtId="181" fontId="4" fillId="2" borderId="2" xfId="23" applyNumberFormat="1" applyFill="1" applyBorder="1" applyAlignment="1">
      <alignment horizontal="right" vertical="center"/>
    </xf>
    <xf numFmtId="0" fontId="4" fillId="2" borderId="6" xfId="8" applyFont="1" applyFill="1" applyAlignment="1">
      <alignment horizontal="center" vertical="center" wrapText="1"/>
    </xf>
    <xf numFmtId="181" fontId="4" fillId="2" borderId="6" xfId="8" applyNumberFormat="1" applyFont="1" applyFill="1" applyAlignment="1">
      <alignment vertical="center"/>
    </xf>
    <xf numFmtId="181" fontId="4" fillId="2" borderId="6" xfId="8" applyNumberFormat="1" applyFont="1" applyFill="1" applyAlignment="1">
      <alignment horizontal="righ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80" fontId="3" fillId="2" borderId="2" xfId="22" applyNumberFormat="1" applyFill="1" applyBorder="1" applyAlignment="1">
      <alignment vertical="center"/>
    </xf>
    <xf numFmtId="180" fontId="3" fillId="2" borderId="2" xfId="22" applyNumberFormat="1" applyFill="1" applyBorder="1" applyAlignment="1">
      <alignment horizontal="center" vertical="center"/>
    </xf>
    <xf numFmtId="181" fontId="3" fillId="2" borderId="2" xfId="22" applyNumberFormat="1" applyFill="1" applyBorder="1" applyAlignment="1">
      <alignment horizontal="center" vertical="center"/>
    </xf>
    <xf numFmtId="180" fontId="3" fillId="2" borderId="2" xfId="22" applyNumberFormat="1" applyFill="1" applyBorder="1" applyAlignment="1">
      <alignment horizontal="right" vertical="center" wrapText="1"/>
    </xf>
    <xf numFmtId="180" fontId="4" fillId="2" borderId="2" xfId="23" applyNumberFormat="1" applyFill="1" applyBorder="1" applyAlignment="1">
      <alignment vertical="center"/>
    </xf>
    <xf numFmtId="180" fontId="4" fillId="2" borderId="2" xfId="23" applyNumberFormat="1" applyFill="1" applyBorder="1" applyAlignment="1">
      <alignment horizontal="center" vertical="center"/>
    </xf>
    <xf numFmtId="180" fontId="4" fillId="2" borderId="6" xfId="8" applyNumberFormat="1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181" fontId="2" fillId="2" borderId="0" xfId="0" applyNumberFormat="1" applyFont="1" applyFill="1" applyAlignment="1">
      <alignment vertical="center"/>
    </xf>
    <xf numFmtId="181" fontId="1" fillId="2" borderId="2" xfId="0" applyNumberFormat="1" applyFont="1" applyFill="1" applyBorder="1" applyAlignment="1">
      <alignment vertical="center"/>
    </xf>
    <xf numFmtId="1" fontId="2" fillId="2" borderId="0" xfId="0" applyNumberFormat="1" applyFont="1" applyFill="1" applyAlignment="1">
      <alignment vertical="center"/>
    </xf>
    <xf numFmtId="10" fontId="2" fillId="2" borderId="0" xfId="3" applyNumberFormat="1" applyFont="1" applyFill="1" applyAlignment="1">
      <alignment vertical="center"/>
    </xf>
    <xf numFmtId="181" fontId="5" fillId="2" borderId="2" xfId="0" applyNumberFormat="1" applyFont="1" applyFill="1" applyBorder="1" applyAlignment="1">
      <alignment vertical="center"/>
    </xf>
    <xf numFmtId="1" fontId="1" fillId="2" borderId="0" xfId="0" applyNumberFormat="1" applyFont="1" applyFill="1" applyAlignment="1">
      <alignment vertical="center"/>
    </xf>
    <xf numFmtId="181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horizontal="right" vertical="center"/>
    </xf>
    <xf numFmtId="0" fontId="0" fillId="0" borderId="9" xfId="0" applyBorder="1"/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0" fontId="0" fillId="0" borderId="13" xfId="0" applyBorder="1"/>
    <xf numFmtId="0" fontId="12" fillId="0" borderId="2" xfId="0" applyFont="1" applyBorder="1" applyAlignment="1">
      <alignment horizontal="center" vertical="center"/>
    </xf>
    <xf numFmtId="0" fontId="0" fillId="0" borderId="15" xfId="0" applyBorder="1"/>
    <xf numFmtId="0" fontId="6" fillId="0" borderId="3" xfId="0" applyFont="1" applyBorder="1" applyAlignment="1">
      <alignment horizontal="center" vertical="center"/>
    </xf>
    <xf numFmtId="0" fontId="0" fillId="0" borderId="10" xfId="0" applyBorder="1"/>
    <xf numFmtId="0" fontId="6" fillId="0" borderId="4" xfId="0" applyFont="1" applyBorder="1" applyAlignment="1">
      <alignment vertical="center"/>
    </xf>
    <xf numFmtId="180" fontId="6" fillId="0" borderId="2" xfId="0" applyNumberFormat="1" applyFont="1" applyBorder="1" applyAlignment="1">
      <alignment horizontal="center" vertical="center"/>
    </xf>
    <xf numFmtId="0" fontId="0" fillId="0" borderId="7" xfId="0" applyBorder="1"/>
    <xf numFmtId="0" fontId="6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left" vertical="center" wrapText="1"/>
    </xf>
    <xf numFmtId="0" fontId="0" fillId="0" borderId="11" xfId="0" applyBorder="1"/>
    <xf numFmtId="0" fontId="0" fillId="0" borderId="16" xfId="0" applyBorder="1"/>
    <xf numFmtId="0" fontId="0" fillId="0" borderId="12" xfId="0" applyBorder="1"/>
    <xf numFmtId="0" fontId="0" fillId="0" borderId="14" xfId="0" applyBorder="1"/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right" vertical="center"/>
    </xf>
    <xf numFmtId="0" fontId="6" fillId="0" borderId="10" xfId="0" applyFont="1" applyBorder="1" applyAlignment="1">
      <alignment horizontal="center" vertical="center"/>
    </xf>
    <xf numFmtId="0" fontId="14" fillId="0" borderId="3" xfId="54" applyFont="1" applyBorder="1" applyAlignment="1">
      <alignment horizontal="left" vertical="center"/>
    </xf>
    <xf numFmtId="181" fontId="6" fillId="0" borderId="3" xfId="0" applyNumberFormat="1" applyFont="1" applyBorder="1" applyAlignment="1">
      <alignment horizontal="left" vertical="center"/>
    </xf>
    <xf numFmtId="181" fontId="6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7" xfId="0" applyFont="1" applyBorder="1" applyAlignment="1">
      <alignment horizontal="center" vertical="center"/>
    </xf>
    <xf numFmtId="181" fontId="6" fillId="0" borderId="17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 wrapText="1"/>
    </xf>
    <xf numFmtId="0" fontId="6" fillId="0" borderId="17" xfId="0" applyFont="1" applyBorder="1" applyAlignment="1">
      <alignment vertical="center"/>
    </xf>
    <xf numFmtId="2" fontId="6" fillId="0" borderId="17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2" fontId="6" fillId="0" borderId="16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82" fontId="6" fillId="0" borderId="7" xfId="3" applyNumberFormat="1" applyFont="1" applyBorder="1" applyAlignment="1">
      <alignment horizontal="left" vertical="center"/>
    </xf>
    <xf numFmtId="9" fontId="6" fillId="0" borderId="7" xfId="3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/>
    </xf>
    <xf numFmtId="0" fontId="16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80" fontId="6" fillId="0" borderId="2" xfId="0" applyNumberFormat="1" applyFont="1" applyBorder="1" applyAlignment="1">
      <alignment horizontal="center" vertical="center" wrapText="1"/>
    </xf>
    <xf numFmtId="183" fontId="6" fillId="0" borderId="0" xfId="0" applyNumberFormat="1" applyFont="1" applyAlignment="1">
      <alignment vertical="center"/>
    </xf>
    <xf numFmtId="181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183" fontId="6" fillId="0" borderId="17" xfId="0" applyNumberFormat="1" applyFont="1" applyBorder="1" applyAlignment="1">
      <alignment horizontal="center" vertical="center"/>
    </xf>
    <xf numFmtId="183" fontId="6" fillId="0" borderId="16" xfId="0" applyNumberFormat="1" applyFont="1" applyBorder="1" applyAlignment="1">
      <alignment horizontal="center" vertical="center"/>
    </xf>
    <xf numFmtId="181" fontId="6" fillId="0" borderId="16" xfId="2" applyNumberFormat="1" applyFont="1" applyBorder="1" applyAlignment="1">
      <alignment horizontal="right" vertical="center"/>
    </xf>
    <xf numFmtId="3" fontId="6" fillId="0" borderId="0" xfId="0" applyNumberFormat="1" applyFont="1" applyAlignment="1">
      <alignment vertical="center"/>
    </xf>
    <xf numFmtId="181" fontId="6" fillId="0" borderId="2" xfId="2" applyNumberFormat="1" applyFont="1" applyBorder="1" applyAlignment="1">
      <alignment horizontal="right" vertical="center"/>
    </xf>
    <xf numFmtId="181" fontId="6" fillId="0" borderId="2" xfId="2" applyNumberFormat="1" applyFont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2" borderId="2" xfId="22" applyFill="1" applyBorder="1" applyAlignment="1">
      <alignment horizontal="left" vertical="center"/>
    </xf>
    <xf numFmtId="0" fontId="3" fillId="2" borderId="3" xfId="22" applyFill="1" applyBorder="1" applyAlignment="1">
      <alignment vertical="center"/>
    </xf>
    <xf numFmtId="0" fontId="3" fillId="2" borderId="5" xfId="22" applyFill="1" applyBorder="1" applyAlignment="1">
      <alignment horizontal="center" vertical="center"/>
    </xf>
    <xf numFmtId="0" fontId="3" fillId="2" borderId="2" xfId="22" applyFill="1" applyBorder="1" applyAlignment="1">
      <alignment horizontal="center" vertical="center" wrapText="1"/>
    </xf>
    <xf numFmtId="0" fontId="3" fillId="2" borderId="3" xfId="22" applyFill="1" applyBorder="1" applyAlignment="1">
      <alignment horizontal="center" vertical="center"/>
    </xf>
    <xf numFmtId="0" fontId="3" fillId="2" borderId="18" xfId="22" applyFill="1" applyBorder="1" applyAlignment="1">
      <alignment horizontal="center" vertical="center"/>
    </xf>
    <xf numFmtId="0" fontId="4" fillId="2" borderId="2" xfId="23" applyFill="1" applyBorder="1" applyAlignment="1">
      <alignment horizontal="left" vertical="center"/>
    </xf>
    <xf numFmtId="0" fontId="4" fillId="2" borderId="3" xfId="23" applyFill="1" applyBorder="1" applyAlignment="1">
      <alignment vertical="center"/>
    </xf>
    <xf numFmtId="0" fontId="4" fillId="2" borderId="18" xfId="23" applyFill="1" applyBorder="1" applyAlignment="1">
      <alignment horizontal="center" vertical="center"/>
    </xf>
    <xf numFmtId="181" fontId="3" fillId="2" borderId="3" xfId="22" applyNumberFormat="1" applyFill="1" applyBorder="1" applyAlignment="1">
      <alignment vertical="center"/>
    </xf>
    <xf numFmtId="181" fontId="4" fillId="2" borderId="3" xfId="23" applyNumberFormat="1" applyFill="1" applyBorder="1" applyAlignment="1">
      <alignment vertical="center"/>
    </xf>
    <xf numFmtId="180" fontId="2" fillId="0" borderId="0" xfId="0" applyNumberFormat="1" applyFont="1" applyAlignment="1">
      <alignment vertical="center"/>
    </xf>
    <xf numFmtId="0" fontId="2" fillId="0" borderId="0" xfId="49" applyFont="1" applyAlignment="1">
      <alignment vertical="center"/>
    </xf>
    <xf numFmtId="0" fontId="18" fillId="0" borderId="0" xfId="49" applyFont="1" applyAlignment="1">
      <alignment horizontal="right" vertical="center"/>
    </xf>
    <xf numFmtId="0" fontId="19" fillId="0" borderId="0" xfId="49" applyFont="1" applyAlignment="1">
      <alignment horizontal="right" vertical="center" wrapText="1"/>
    </xf>
    <xf numFmtId="0" fontId="19" fillId="0" borderId="0" xfId="49" applyFont="1" applyAlignment="1">
      <alignment horizontal="right" vertical="center"/>
    </xf>
    <xf numFmtId="0" fontId="20" fillId="0" borderId="0" xfId="49" applyFont="1" applyAlignment="1">
      <alignment horizontal="right" vertical="center"/>
    </xf>
    <xf numFmtId="0" fontId="21" fillId="0" borderId="0" xfId="49" applyFont="1" applyAlignment="1">
      <alignment horizontal="right" vertical="center"/>
    </xf>
    <xf numFmtId="0" fontId="22" fillId="0" borderId="19" xfId="49" applyFont="1" applyBorder="1" applyAlignment="1">
      <alignment vertical="center"/>
    </xf>
    <xf numFmtId="0" fontId="23" fillId="0" borderId="0" xfId="49" applyFont="1" applyAlignment="1">
      <alignment horizontal="center" vertical="center"/>
    </xf>
    <xf numFmtId="0" fontId="24" fillId="0" borderId="0" xfId="49" applyFont="1" applyAlignment="1">
      <alignment horizontal="center" vertical="center"/>
    </xf>
    <xf numFmtId="0" fontId="8" fillId="0" borderId="20" xfId="49" applyFont="1" applyBorder="1" applyAlignment="1">
      <alignment horizontal="center" vertical="top" wrapText="1"/>
    </xf>
    <xf numFmtId="0" fontId="0" fillId="0" borderId="21" xfId="0" applyBorder="1"/>
    <xf numFmtId="0" fontId="25" fillId="0" borderId="22" xfId="4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19" fillId="0" borderId="22" xfId="49" applyFont="1" applyBorder="1" applyAlignment="1">
      <alignment horizontal="left" vertical="center"/>
    </xf>
    <xf numFmtId="0" fontId="25" fillId="0" borderId="25" xfId="49" applyFont="1" applyBorder="1" applyAlignment="1">
      <alignment horizontal="center" vertical="center" wrapText="1"/>
    </xf>
    <xf numFmtId="180" fontId="25" fillId="0" borderId="26" xfId="49" applyNumberFormat="1" applyFont="1" applyBorder="1" applyAlignment="1">
      <alignment horizontal="left" vertical="center"/>
    </xf>
    <xf numFmtId="0" fontId="0" fillId="0" borderId="25" xfId="0" applyBorder="1"/>
    <xf numFmtId="0" fontId="25" fillId="0" borderId="27" xfId="49" applyFont="1" applyBorder="1" applyAlignment="1">
      <alignment horizontal="center" vertical="center"/>
    </xf>
    <xf numFmtId="0" fontId="0" fillId="0" borderId="28" xfId="0" applyBorder="1"/>
    <xf numFmtId="0" fontId="25" fillId="0" borderId="22" xfId="49" applyFont="1" applyBorder="1" applyAlignment="1">
      <alignment horizontal="left" vertical="center" wrapText="1"/>
    </xf>
    <xf numFmtId="180" fontId="25" fillId="0" borderId="29" xfId="49" applyNumberFormat="1" applyFont="1" applyBorder="1" applyAlignment="1">
      <alignment horizontal="left" vertical="center"/>
    </xf>
    <xf numFmtId="0" fontId="8" fillId="0" borderId="20" xfId="49" applyFont="1" applyBorder="1" applyAlignment="1">
      <alignment horizontal="right" vertical="center" wrapText="1"/>
    </xf>
    <xf numFmtId="0" fontId="26" fillId="0" borderId="21" xfId="49" applyFont="1" applyBorder="1" applyAlignment="1">
      <alignment horizontal="left" vertical="center" wrapText="1"/>
    </xf>
    <xf numFmtId="0" fontId="8" fillId="0" borderId="20" xfId="49" applyFont="1" applyBorder="1" applyAlignment="1">
      <alignment horizontal="right" vertical="center"/>
    </xf>
    <xf numFmtId="0" fontId="2" fillId="0" borderId="28" xfId="49" applyFont="1" applyBorder="1" applyAlignment="1">
      <alignment horizontal="left" vertical="center"/>
    </xf>
    <xf numFmtId="0" fontId="8" fillId="0" borderId="25" xfId="49" applyFont="1" applyBorder="1" applyAlignment="1">
      <alignment horizontal="right" vertical="center"/>
    </xf>
    <xf numFmtId="0" fontId="25" fillId="0" borderId="0" xfId="49" applyFont="1" applyAlignment="1">
      <alignment horizontal="left" vertical="center" wrapText="1"/>
    </xf>
    <xf numFmtId="0" fontId="8" fillId="0" borderId="25" xfId="49" applyFont="1" applyBorder="1" applyAlignment="1">
      <alignment horizontal="right" vertical="center" wrapText="1"/>
    </xf>
    <xf numFmtId="0" fontId="26" fillId="0" borderId="30" xfId="49" applyFont="1" applyBorder="1" applyAlignment="1">
      <alignment horizontal="left" vertical="center"/>
    </xf>
    <xf numFmtId="0" fontId="25" fillId="0" borderId="30" xfId="49" applyFont="1" applyBorder="1" applyAlignment="1">
      <alignment horizontal="left" vertical="center" wrapText="1"/>
    </xf>
    <xf numFmtId="0" fontId="0" fillId="0" borderId="30" xfId="0" applyBorder="1"/>
    <xf numFmtId="0" fontId="27" fillId="0" borderId="31" xfId="50" applyFont="1" applyBorder="1" applyAlignment="1">
      <alignment horizontal="right" vertical="center"/>
    </xf>
    <xf numFmtId="0" fontId="6" fillId="0" borderId="19" xfId="49" applyFont="1" applyBorder="1" applyAlignment="1">
      <alignment horizontal="left" vertical="center"/>
    </xf>
    <xf numFmtId="0" fontId="0" fillId="0" borderId="19" xfId="0" applyBorder="1"/>
    <xf numFmtId="0" fontId="11" fillId="0" borderId="31" xfId="49" applyFont="1" applyBorder="1" applyAlignment="1">
      <alignment horizontal="right" vertical="center"/>
    </xf>
    <xf numFmtId="0" fontId="6" fillId="0" borderId="32" xfId="49" applyFont="1" applyBorder="1" applyAlignment="1">
      <alignment horizontal="left" vertical="center"/>
    </xf>
    <xf numFmtId="0" fontId="19" fillId="0" borderId="33" xfId="49" applyFont="1" applyBorder="1" applyAlignment="1">
      <alignment horizontal="center" vertical="center" wrapText="1"/>
    </xf>
    <xf numFmtId="0" fontId="19" fillId="0" borderId="34" xfId="49" applyFont="1" applyBorder="1" applyAlignment="1">
      <alignment horizontal="center" vertical="center"/>
    </xf>
    <xf numFmtId="0" fontId="0" fillId="0" borderId="35" xfId="0" applyBorder="1"/>
    <xf numFmtId="0" fontId="19" fillId="0" borderId="19" xfId="49" applyFont="1" applyBorder="1" applyAlignment="1">
      <alignment horizontal="center" vertical="center"/>
    </xf>
    <xf numFmtId="0" fontId="28" fillId="0" borderId="36" xfId="54" applyFont="1" applyBorder="1"/>
    <xf numFmtId="0" fontId="25" fillId="0" borderId="17" xfId="49" applyFont="1" applyBorder="1" applyAlignment="1">
      <alignment horizontal="left" vertical="center"/>
    </xf>
    <xf numFmtId="0" fontId="29" fillId="0" borderId="0" xfId="50" applyFont="1" applyAlignment="1">
      <alignment horizontal="center"/>
    </xf>
    <xf numFmtId="0" fontId="25" fillId="0" borderId="17" xfId="49" applyFont="1" applyBorder="1" applyAlignment="1">
      <alignment horizontal="center" vertical="center"/>
    </xf>
    <xf numFmtId="181" fontId="25" fillId="0" borderId="0" xfId="49" applyNumberFormat="1" applyFont="1" applyAlignment="1">
      <alignment horizontal="center" vertical="center"/>
    </xf>
    <xf numFmtId="184" fontId="25" fillId="0" borderId="17" xfId="49" applyNumberFormat="1" applyFont="1" applyBorder="1" applyAlignment="1">
      <alignment horizontal="center" vertical="center"/>
    </xf>
    <xf numFmtId="0" fontId="14" fillId="0" borderId="36" xfId="54" applyFont="1" applyBorder="1"/>
    <xf numFmtId="0" fontId="26" fillId="0" borderId="17" xfId="49" applyFont="1" applyBorder="1" applyAlignment="1">
      <alignment horizontal="center" vertical="center"/>
    </xf>
    <xf numFmtId="0" fontId="30" fillId="0" borderId="0" xfId="50" applyFont="1" applyAlignment="1">
      <alignment horizontal="center"/>
    </xf>
    <xf numFmtId="181" fontId="26" fillId="0" borderId="0" xfId="49" applyNumberFormat="1" applyFont="1" applyAlignment="1">
      <alignment horizontal="center" vertical="center"/>
    </xf>
    <xf numFmtId="184" fontId="26" fillId="0" borderId="17" xfId="49" applyNumberFormat="1" applyFont="1" applyBorder="1" applyAlignment="1">
      <alignment horizontal="center" vertical="center"/>
    </xf>
    <xf numFmtId="0" fontId="6" fillId="0" borderId="36" xfId="49" applyFont="1" applyBorder="1" applyAlignment="1">
      <alignment vertical="center"/>
    </xf>
    <xf numFmtId="180" fontId="6" fillId="0" borderId="36" xfId="0" applyNumberFormat="1" applyFont="1" applyBorder="1"/>
    <xf numFmtId="0" fontId="6" fillId="0" borderId="37" xfId="49" applyFont="1" applyBorder="1" applyAlignment="1">
      <alignment vertical="center"/>
    </xf>
    <xf numFmtId="0" fontId="26" fillId="0" borderId="16" xfId="49" applyFont="1" applyBorder="1" applyAlignment="1">
      <alignment horizontal="center" vertical="center"/>
    </xf>
    <xf numFmtId="0" fontId="6" fillId="0" borderId="14" xfId="49" applyFont="1" applyBorder="1" applyAlignment="1">
      <alignment vertical="center"/>
    </xf>
    <xf numFmtId="0" fontId="6" fillId="0" borderId="16" xfId="49" applyFont="1" applyBorder="1" applyAlignment="1">
      <alignment vertical="center"/>
    </xf>
    <xf numFmtId="0" fontId="31" fillId="0" borderId="25" xfId="49" applyFont="1" applyBorder="1" applyAlignment="1">
      <alignment horizontal="center" vertical="center"/>
    </xf>
    <xf numFmtId="184" fontId="26" fillId="0" borderId="2" xfId="49" applyNumberFormat="1" applyFont="1" applyBorder="1" applyAlignment="1">
      <alignment horizontal="center" vertical="center"/>
    </xf>
    <xf numFmtId="0" fontId="27" fillId="0" borderId="25" xfId="50" applyFont="1" applyBorder="1" applyAlignment="1">
      <alignment horizontal="left" vertical="center"/>
    </xf>
    <xf numFmtId="0" fontId="6" fillId="0" borderId="0" xfId="49" applyFont="1" applyAlignment="1">
      <alignment horizontal="left" vertical="center"/>
    </xf>
    <xf numFmtId="0" fontId="6" fillId="0" borderId="0" xfId="49" applyFont="1" applyAlignment="1">
      <alignment vertical="center"/>
    </xf>
    <xf numFmtId="9" fontId="26" fillId="0" borderId="2" xfId="3" applyFont="1" applyBorder="1" applyAlignment="1">
      <alignment horizontal="center" vertical="center"/>
    </xf>
    <xf numFmtId="0" fontId="32" fillId="0" borderId="25" xfId="49" applyFont="1" applyBorder="1" applyAlignment="1">
      <alignment horizontal="left" vertical="center"/>
    </xf>
    <xf numFmtId="0" fontId="17" fillId="0" borderId="11" xfId="49" applyFont="1" applyBorder="1" applyAlignment="1">
      <alignment horizontal="left" vertical="top" wrapText="1"/>
    </xf>
    <xf numFmtId="0" fontId="17" fillId="0" borderId="25" xfId="49" applyFont="1" applyBorder="1" applyAlignment="1">
      <alignment horizontal="left" vertical="center"/>
    </xf>
    <xf numFmtId="0" fontId="2" fillId="0" borderId="25" xfId="49" applyFont="1" applyBorder="1" applyAlignment="1">
      <alignment vertical="center"/>
    </xf>
    <xf numFmtId="0" fontId="17" fillId="0" borderId="0" xfId="49" applyFont="1" applyAlignment="1">
      <alignment horizontal="left" vertical="top" wrapText="1"/>
    </xf>
    <xf numFmtId="0" fontId="8" fillId="0" borderId="25" xfId="49" applyFont="1" applyBorder="1" applyAlignment="1">
      <alignment horizontal="left" vertical="center"/>
    </xf>
    <xf numFmtId="0" fontId="17" fillId="0" borderId="0" xfId="49" applyFont="1" applyAlignment="1">
      <alignment vertical="top" wrapText="1"/>
    </xf>
    <xf numFmtId="0" fontId="17" fillId="0" borderId="0" xfId="49" applyFont="1" applyAlignment="1">
      <alignment horizontal="left" vertical="center"/>
    </xf>
    <xf numFmtId="0" fontId="6" fillId="0" borderId="25" xfId="49" applyFont="1" applyBorder="1" applyAlignment="1">
      <alignment vertical="center"/>
    </xf>
    <xf numFmtId="0" fontId="8" fillId="0" borderId="30" xfId="49" applyFont="1" applyBorder="1" applyAlignment="1">
      <alignment horizontal="center" vertical="center" wrapText="1"/>
    </xf>
    <xf numFmtId="0" fontId="17" fillId="0" borderId="0" xfId="49" applyFont="1" applyAlignment="1">
      <alignment vertical="center"/>
    </xf>
    <xf numFmtId="0" fontId="8" fillId="0" borderId="0" xfId="49" applyFont="1" applyAlignment="1">
      <alignment horizontal="center" vertical="center" wrapText="1"/>
    </xf>
    <xf numFmtId="0" fontId="8" fillId="0" borderId="30" xfId="49" applyFont="1" applyBorder="1" applyAlignment="1">
      <alignment horizontal="center" vertical="center"/>
    </xf>
    <xf numFmtId="0" fontId="2" fillId="0" borderId="31" xfId="49" applyFont="1" applyBorder="1" applyAlignment="1">
      <alignment vertical="center"/>
    </xf>
    <xf numFmtId="0" fontId="2" fillId="0" borderId="19" xfId="49" applyFont="1" applyBorder="1" applyAlignment="1">
      <alignment vertical="center"/>
    </xf>
    <xf numFmtId="0" fontId="8" fillId="0" borderId="32" xfId="49" applyFont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32" xfId="0" applyBorder="1"/>
    <xf numFmtId="0" fontId="19" fillId="0" borderId="40" xfId="49" applyFont="1" applyBorder="1" applyAlignment="1">
      <alignment horizontal="center" vertical="center"/>
    </xf>
    <xf numFmtId="181" fontId="25" fillId="0" borderId="41" xfId="49" applyNumberFormat="1" applyFont="1" applyBorder="1" applyAlignment="1">
      <alignment vertical="center"/>
    </xf>
    <xf numFmtId="0" fontId="28" fillId="0" borderId="0" xfId="54" applyFont="1"/>
    <xf numFmtId="181" fontId="26" fillId="0" borderId="41" xfId="49" applyNumberFormat="1" applyFont="1" applyBorder="1" applyAlignment="1">
      <alignment vertical="center"/>
    </xf>
    <xf numFmtId="0" fontId="26" fillId="0" borderId="41" xfId="49" applyFont="1" applyBorder="1" applyAlignment="1">
      <alignment horizontal="center" vertical="center"/>
    </xf>
    <xf numFmtId="0" fontId="6" fillId="0" borderId="42" xfId="49" applyFont="1" applyBorder="1" applyAlignment="1">
      <alignment vertical="center"/>
    </xf>
    <xf numFmtId="181" fontId="26" fillId="0" borderId="43" xfId="49" applyNumberFormat="1" applyFont="1" applyBorder="1" applyAlignment="1">
      <alignment vertical="center"/>
    </xf>
    <xf numFmtId="0" fontId="6" fillId="0" borderId="30" xfId="49" applyFont="1" applyBorder="1" applyAlignment="1">
      <alignment vertical="center"/>
    </xf>
    <xf numFmtId="0" fontId="2" fillId="0" borderId="30" xfId="49" applyFont="1" applyBorder="1" applyAlignment="1">
      <alignment vertical="center"/>
    </xf>
    <xf numFmtId="0" fontId="33" fillId="0" borderId="0" xfId="54" applyFont="1"/>
    <xf numFmtId="0" fontId="34" fillId="3" borderId="5" xfId="54" applyFont="1" applyFill="1" applyBorder="1" applyAlignment="1">
      <alignment horizontal="center" vertical="center" wrapText="1"/>
    </xf>
    <xf numFmtId="0" fontId="33" fillId="0" borderId="5" xfId="54" applyFont="1" applyBorder="1"/>
    <xf numFmtId="0" fontId="35" fillId="0" borderId="2" xfId="54" applyFont="1" applyBorder="1"/>
    <xf numFmtId="0" fontId="33" fillId="0" borderId="5" xfId="54" applyFont="1" applyBorder="1" applyAlignment="1">
      <alignment horizontal="right" vertical="center"/>
    </xf>
    <xf numFmtId="0" fontId="33" fillId="0" borderId="5" xfId="54" applyFont="1" applyBorder="1" applyAlignment="1">
      <alignment horizontal="center" vertical="center"/>
    </xf>
    <xf numFmtId="0" fontId="33" fillId="0" borderId="2" xfId="0" applyFont="1" applyBorder="1" applyAlignment="1">
      <alignment vertical="center" wrapText="1"/>
    </xf>
    <xf numFmtId="0" fontId="35" fillId="0" borderId="5" xfId="0" applyFont="1" applyBorder="1"/>
    <xf numFmtId="0" fontId="33" fillId="0" borderId="2" xfId="54" applyFont="1" applyBorder="1"/>
    <xf numFmtId="0" fontId="33" fillId="0" borderId="3" xfId="54" applyFont="1" applyBorder="1"/>
    <xf numFmtId="0" fontId="33" fillId="0" borderId="3" xfId="54" applyFont="1" applyBorder="1" applyAlignment="1">
      <alignment horizontal="right" vertical="center"/>
    </xf>
    <xf numFmtId="0" fontId="33" fillId="0" borderId="18" xfId="54" applyFont="1" applyBorder="1" applyAlignment="1">
      <alignment horizontal="right" vertical="center"/>
    </xf>
    <xf numFmtId="0" fontId="33" fillId="0" borderId="18" xfId="54" applyFont="1" applyBorder="1" applyAlignment="1">
      <alignment horizontal="center" vertical="center"/>
    </xf>
    <xf numFmtId="0" fontId="35" fillId="0" borderId="44" xfId="0" applyFont="1" applyBorder="1"/>
    <xf numFmtId="0" fontId="35" fillId="0" borderId="2" xfId="0" applyFont="1" applyBorder="1"/>
    <xf numFmtId="0" fontId="33" fillId="0" borderId="44" xfId="54" applyFont="1" applyBorder="1"/>
    <xf numFmtId="0" fontId="33" fillId="0" borderId="44" xfId="54" applyFont="1" applyBorder="1" applyAlignment="1">
      <alignment horizontal="right" vertical="center"/>
    </xf>
    <xf numFmtId="0" fontId="33" fillId="0" borderId="44" xfId="54" applyFont="1" applyBorder="1" applyAlignment="1">
      <alignment horizontal="center" vertical="center"/>
    </xf>
    <xf numFmtId="0" fontId="36" fillId="0" borderId="5" xfId="0" applyFont="1" applyBorder="1"/>
    <xf numFmtId="0" fontId="36" fillId="0" borderId="2" xfId="0" applyFont="1" applyBorder="1"/>
    <xf numFmtId="0" fontId="35" fillId="0" borderId="5" xfId="54" applyFont="1" applyBorder="1"/>
    <xf numFmtId="0" fontId="33" fillId="0" borderId="18" xfId="54" applyFont="1" applyBorder="1"/>
    <xf numFmtId="0" fontId="35" fillId="0" borderId="3" xfId="54" applyFont="1" applyBorder="1"/>
    <xf numFmtId="0" fontId="33" fillId="0" borderId="2" xfId="54" applyFont="1" applyBorder="1" applyAlignment="1">
      <alignment horizontal="right" vertical="center"/>
    </xf>
    <xf numFmtId="0" fontId="34" fillId="3" borderId="45" xfId="54" applyFont="1" applyFill="1" applyBorder="1" applyAlignment="1">
      <alignment horizontal="center" vertical="center" wrapText="1"/>
    </xf>
    <xf numFmtId="0" fontId="34" fillId="3" borderId="46" xfId="54" applyFont="1" applyFill="1" applyBorder="1" applyAlignment="1">
      <alignment horizontal="center" vertical="center" wrapText="1"/>
    </xf>
    <xf numFmtId="0" fontId="33" fillId="0" borderId="5" xfId="54" applyFont="1" applyBorder="1" applyAlignment="1">
      <alignment horizontal="center"/>
    </xf>
    <xf numFmtId="2" fontId="33" fillId="0" borderId="2" xfId="54" applyNumberFormat="1" applyFont="1" applyBorder="1"/>
    <xf numFmtId="0" fontId="33" fillId="0" borderId="3" xfId="54" applyFont="1" applyBorder="1" applyAlignment="1">
      <alignment horizontal="center"/>
    </xf>
    <xf numFmtId="2" fontId="33" fillId="0" borderId="3" xfId="54" applyNumberFormat="1" applyFont="1" applyBorder="1"/>
    <xf numFmtId="0" fontId="33" fillId="0" borderId="44" xfId="54" applyFont="1" applyBorder="1" applyAlignment="1">
      <alignment horizontal="center"/>
    </xf>
    <xf numFmtId="2" fontId="33" fillId="0" borderId="16" xfId="54" applyNumberFormat="1" applyFont="1" applyBorder="1"/>
    <xf numFmtId="182" fontId="33" fillId="0" borderId="0" xfId="54" applyNumberFormat="1" applyFont="1"/>
    <xf numFmtId="0" fontId="33" fillId="0" borderId="18" xfId="54" applyFont="1" applyBorder="1" applyAlignment="1">
      <alignment horizontal="center"/>
    </xf>
    <xf numFmtId="0" fontId="33" fillId="0" borderId="2" xfId="54" applyFont="1" applyBorder="1" applyAlignment="1">
      <alignment horizontal="center"/>
    </xf>
    <xf numFmtId="2" fontId="33" fillId="0" borderId="0" xfId="54" applyNumberFormat="1" applyFont="1"/>
    <xf numFmtId="0" fontId="37" fillId="0" borderId="0" xfId="54" applyFont="1" applyAlignment="1">
      <alignment horizontal="center" vertical="center"/>
    </xf>
    <xf numFmtId="0" fontId="38" fillId="0" borderId="0" xfId="54" applyFont="1" applyAlignment="1">
      <alignment horizontal="center" vertical="center"/>
    </xf>
    <xf numFmtId="0" fontId="39" fillId="0" borderId="0" xfId="54" applyFont="1" applyAlignment="1">
      <alignment horizontal="center" vertical="center"/>
    </xf>
    <xf numFmtId="0" fontId="40" fillId="0" borderId="0" xfId="54" applyFont="1" applyAlignment="1">
      <alignment horizontal="center" vertical="center"/>
    </xf>
    <xf numFmtId="0" fontId="40" fillId="0" borderId="0" xfId="54" applyFont="1" applyAlignment="1">
      <alignment horizontal="left" vertical="center" wrapText="1"/>
    </xf>
    <xf numFmtId="0" fontId="41" fillId="0" borderId="0" xfId="54" applyFont="1" applyAlignment="1">
      <alignment horizontal="left" vertical="center"/>
    </xf>
    <xf numFmtId="0" fontId="41" fillId="0" borderId="0" xfId="54" applyFont="1" applyAlignment="1">
      <alignment horizontal="center" vertical="center"/>
    </xf>
    <xf numFmtId="0" fontId="42" fillId="0" borderId="0" xfId="54" applyFont="1" applyAlignment="1">
      <alignment horizontal="center" vertical="center"/>
    </xf>
    <xf numFmtId="0" fontId="43" fillId="3" borderId="2" xfId="54" applyFont="1" applyFill="1" applyBorder="1" applyAlignment="1">
      <alignment horizontal="center" vertical="center" wrapText="1"/>
    </xf>
    <xf numFmtId="0" fontId="43" fillId="3" borderId="2" xfId="54" applyFont="1" applyFill="1" applyBorder="1" applyAlignment="1">
      <alignment horizontal="left" vertical="center" wrapText="1"/>
    </xf>
    <xf numFmtId="0" fontId="44" fillId="0" borderId="2" xfId="54" applyFont="1" applyBorder="1" applyAlignment="1">
      <alignment horizontal="center" vertical="center"/>
    </xf>
    <xf numFmtId="0" fontId="44" fillId="0" borderId="2" xfId="54" applyFont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45" fillId="0" borderId="2" xfId="6" applyFont="1" applyBorder="1" applyAlignment="1">
      <alignment horizontal="left" vertical="center"/>
    </xf>
    <xf numFmtId="0" fontId="37" fillId="0" borderId="2" xfId="54" applyFont="1" applyBorder="1" applyAlignment="1">
      <alignment horizontal="center" vertical="center"/>
    </xf>
    <xf numFmtId="0" fontId="46" fillId="0" borderId="2" xfId="54" applyFont="1" applyBorder="1" applyAlignment="1">
      <alignment horizontal="center" vertical="center"/>
    </xf>
    <xf numFmtId="0" fontId="46" fillId="0" borderId="2" xfId="54" applyFont="1" applyBorder="1" applyAlignment="1">
      <alignment horizontal="left" vertical="center" wrapText="1"/>
    </xf>
    <xf numFmtId="0" fontId="38" fillId="0" borderId="2" xfId="0" applyFont="1" applyBorder="1" applyAlignment="1">
      <alignment horizontal="left" vertical="center" wrapText="1"/>
    </xf>
    <xf numFmtId="0" fontId="47" fillId="0" borderId="2" xfId="6" applyFont="1" applyBorder="1" applyAlignment="1">
      <alignment horizontal="left" vertical="center"/>
    </xf>
    <xf numFmtId="0" fontId="44" fillId="0" borderId="2" xfId="54" applyFont="1" applyBorder="1" applyAlignment="1">
      <alignment horizontal="center" vertical="center" wrapText="1"/>
    </xf>
    <xf numFmtId="0" fontId="46" fillId="0" borderId="2" xfId="54" applyFont="1" applyBorder="1" applyAlignment="1">
      <alignment horizontal="center" vertical="center" wrapText="1"/>
    </xf>
    <xf numFmtId="0" fontId="48" fillId="0" borderId="2" xfId="6" applyFont="1" applyBorder="1" applyAlignment="1">
      <alignment horizontal="left" vertical="center"/>
    </xf>
    <xf numFmtId="0" fontId="45" fillId="0" borderId="2" xfId="6" applyFont="1" applyBorder="1" applyAlignment="1">
      <alignment horizontal="left" vertical="center" wrapText="1"/>
    </xf>
    <xf numFmtId="0" fontId="46" fillId="0" borderId="2" xfId="0" applyFont="1" applyBorder="1" applyAlignment="1">
      <alignment horizontal="left" vertical="center" wrapText="1"/>
    </xf>
    <xf numFmtId="0" fontId="46" fillId="0" borderId="2" xfId="49" applyFont="1" applyBorder="1" applyAlignment="1">
      <alignment horizontal="center" vertical="center" wrapText="1"/>
    </xf>
    <xf numFmtId="0" fontId="47" fillId="0" borderId="2" xfId="6" applyFont="1" applyBorder="1" applyAlignment="1">
      <alignment horizontal="left" vertical="center" wrapText="1"/>
    </xf>
    <xf numFmtId="0" fontId="46" fillId="0" borderId="2" xfId="49" applyFont="1" applyBorder="1" applyAlignment="1">
      <alignment horizontal="center" vertical="center"/>
    </xf>
    <xf numFmtId="0" fontId="46" fillId="0" borderId="2" xfId="49" applyFont="1" applyBorder="1" applyAlignment="1">
      <alignment horizontal="left" vertical="center" wrapText="1"/>
    </xf>
    <xf numFmtId="0" fontId="46" fillId="0" borderId="2" xfId="0" applyFont="1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/>
    </xf>
    <xf numFmtId="0" fontId="38" fillId="0" borderId="2" xfId="54" applyFont="1" applyBorder="1" applyAlignment="1">
      <alignment horizontal="center" vertical="center"/>
    </xf>
    <xf numFmtId="0" fontId="38" fillId="0" borderId="2" xfId="54" applyFont="1" applyBorder="1" applyAlignment="1">
      <alignment horizontal="left" vertical="center"/>
    </xf>
    <xf numFmtId="0" fontId="44" fillId="0" borderId="2" xfId="0" applyFont="1" applyBorder="1" applyAlignment="1">
      <alignment horizontal="center" vertical="center" wrapText="1"/>
    </xf>
    <xf numFmtId="0" fontId="49" fillId="0" borderId="2" xfId="0" applyFont="1" applyBorder="1" applyAlignment="1">
      <alignment horizontal="left" vertical="center" wrapText="1"/>
    </xf>
    <xf numFmtId="0" fontId="50" fillId="0" borderId="2" xfId="6" applyFont="1" applyBorder="1" applyAlignment="1">
      <alignment horizontal="left" vertical="center"/>
    </xf>
    <xf numFmtId="0" fontId="49" fillId="0" borderId="2" xfId="0" applyFont="1" applyBorder="1" applyAlignment="1">
      <alignment horizontal="center" vertical="center" wrapText="1"/>
    </xf>
    <xf numFmtId="0" fontId="51" fillId="0" borderId="2" xfId="0" applyFont="1" applyBorder="1" applyAlignment="1">
      <alignment horizontal="left" vertical="center" wrapText="1"/>
    </xf>
    <xf numFmtId="0" fontId="39" fillId="0" borderId="2" xfId="0" applyFont="1" applyBorder="1" applyAlignment="1">
      <alignment horizontal="left" vertical="center" wrapText="1"/>
    </xf>
    <xf numFmtId="0" fontId="52" fillId="0" borderId="2" xfId="6" applyFont="1" applyBorder="1" applyAlignment="1">
      <alignment horizontal="left" vertical="center"/>
    </xf>
    <xf numFmtId="0" fontId="49" fillId="0" borderId="2" xfId="54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 wrapText="1"/>
    </xf>
    <xf numFmtId="0" fontId="51" fillId="0" borderId="2" xfId="54" applyFont="1" applyBorder="1" applyAlignment="1">
      <alignment horizontal="center" vertical="center"/>
    </xf>
    <xf numFmtId="0" fontId="53" fillId="0" borderId="2" xfId="6" applyFont="1" applyBorder="1" applyAlignment="1">
      <alignment horizontal="left" vertical="center"/>
    </xf>
    <xf numFmtId="0" fontId="49" fillId="0" borderId="2" xfId="54" applyFont="1" applyBorder="1" applyAlignment="1">
      <alignment horizontal="left" vertical="center" wrapText="1"/>
    </xf>
    <xf numFmtId="0" fontId="39" fillId="0" borderId="2" xfId="54" applyFont="1" applyBorder="1" applyAlignment="1">
      <alignment horizontal="center" vertical="center"/>
    </xf>
    <xf numFmtId="0" fontId="39" fillId="0" borderId="2" xfId="54" applyFont="1" applyBorder="1" applyAlignment="1">
      <alignment horizontal="left" vertical="center"/>
    </xf>
    <xf numFmtId="0" fontId="54" fillId="0" borderId="2" xfId="6" applyFont="1" applyBorder="1" applyAlignment="1">
      <alignment horizontal="left" vertical="center"/>
    </xf>
    <xf numFmtId="0" fontId="39" fillId="0" borderId="2" xfId="54" applyFont="1" applyBorder="1" applyAlignment="1">
      <alignment horizontal="center" vertical="center" wrapText="1"/>
    </xf>
    <xf numFmtId="0" fontId="39" fillId="0" borderId="2" xfId="49" applyFont="1" applyBorder="1" applyAlignment="1">
      <alignment horizontal="center" vertical="center" wrapText="1"/>
    </xf>
    <xf numFmtId="0" fontId="53" fillId="0" borderId="2" xfId="53" applyFont="1" applyBorder="1" applyAlignment="1">
      <alignment horizontal="left" vertical="center" wrapText="1"/>
    </xf>
    <xf numFmtId="0" fontId="49" fillId="0" borderId="2" xfId="49" applyFont="1" applyBorder="1" applyAlignment="1">
      <alignment horizontal="center" vertical="center"/>
    </xf>
    <xf numFmtId="0" fontId="52" fillId="0" borderId="0" xfId="6" applyFont="1" applyAlignment="1">
      <alignment vertical="center" wrapText="1"/>
    </xf>
    <xf numFmtId="0" fontId="53" fillId="0" borderId="2" xfId="6" applyFont="1" applyBorder="1" applyAlignment="1">
      <alignment horizontal="left" vertical="center" wrapText="1"/>
    </xf>
    <xf numFmtId="0" fontId="52" fillId="0" borderId="2" xfId="6" applyFont="1" applyBorder="1" applyAlignment="1">
      <alignment horizontal="left" vertical="center" wrapText="1"/>
    </xf>
    <xf numFmtId="0" fontId="49" fillId="0" borderId="2" xfId="54" applyFont="1" applyBorder="1" applyAlignment="1">
      <alignment horizontal="center" vertical="center" wrapText="1"/>
    </xf>
    <xf numFmtId="0" fontId="39" fillId="0" borderId="2" xfId="54" applyFont="1" applyBorder="1" applyAlignment="1">
      <alignment horizontal="left" vertical="center" wrapText="1"/>
    </xf>
    <xf numFmtId="0" fontId="55" fillId="0" borderId="2" xfId="54" applyFont="1" applyBorder="1" applyAlignment="1">
      <alignment horizontal="center" vertical="center" wrapText="1"/>
    </xf>
    <xf numFmtId="0" fontId="55" fillId="0" borderId="0" xfId="0" applyFont="1" applyAlignment="1">
      <alignment vertical="center" wrapText="1"/>
    </xf>
    <xf numFmtId="0" fontId="52" fillId="0" borderId="2" xfId="6" applyFont="1" applyBorder="1" applyAlignment="1">
      <alignment vertical="center"/>
    </xf>
    <xf numFmtId="0" fontId="55" fillId="0" borderId="0" xfId="0" applyFont="1" applyAlignment="1">
      <alignment vertical="center"/>
    </xf>
    <xf numFmtId="0" fontId="52" fillId="0" borderId="0" xfId="6" applyFont="1" applyAlignment="1">
      <alignment vertical="center"/>
    </xf>
    <xf numFmtId="0" fontId="56" fillId="0" borderId="2" xfId="6" applyFont="1" applyBorder="1" applyAlignment="1">
      <alignment horizontal="left" vertical="center"/>
    </xf>
    <xf numFmtId="0" fontId="40" fillId="0" borderId="2" xfId="54" applyFont="1" applyBorder="1" applyAlignment="1">
      <alignment horizontal="left" vertical="center" wrapText="1"/>
    </xf>
    <xf numFmtId="0" fontId="40" fillId="0" borderId="2" xfId="54" applyFont="1" applyBorder="1" applyAlignment="1">
      <alignment horizontal="center" vertical="center"/>
    </xf>
    <xf numFmtId="0" fontId="41" fillId="0" borderId="2" xfId="54" applyFont="1" applyBorder="1" applyAlignment="1">
      <alignment horizontal="left" vertical="center"/>
    </xf>
    <xf numFmtId="0" fontId="41" fillId="0" borderId="2" xfId="54" applyFont="1" applyBorder="1" applyAlignment="1">
      <alignment horizontal="center" vertical="center"/>
    </xf>
    <xf numFmtId="0" fontId="57" fillId="3" borderId="2" xfId="54" applyFont="1" applyFill="1" applyBorder="1" applyAlignment="1">
      <alignment horizontal="center" vertical="center" wrapText="1"/>
    </xf>
    <xf numFmtId="9" fontId="37" fillId="0" borderId="2" xfId="3" applyFont="1" applyBorder="1" applyAlignment="1">
      <alignment horizontal="center" vertical="center"/>
    </xf>
    <xf numFmtId="0" fontId="58" fillId="0" borderId="2" xfId="3" applyNumberFormat="1" applyFont="1" applyBorder="1" applyAlignment="1">
      <alignment horizontal="center" vertical="center" wrapText="1"/>
    </xf>
    <xf numFmtId="9" fontId="58" fillId="0" borderId="2" xfId="3" applyFont="1" applyBorder="1" applyAlignment="1">
      <alignment horizontal="center" vertical="center" wrapText="1"/>
    </xf>
    <xf numFmtId="9" fontId="38" fillId="0" borderId="2" xfId="3" applyFont="1" applyBorder="1" applyAlignment="1">
      <alignment horizontal="center" vertical="center"/>
    </xf>
    <xf numFmtId="0" fontId="59" fillId="0" borderId="2" xfId="3" applyNumberFormat="1" applyFont="1" applyBorder="1" applyAlignment="1">
      <alignment horizontal="center" vertical="center" wrapText="1"/>
    </xf>
    <xf numFmtId="9" fontId="59" fillId="0" borderId="2" xfId="3" applyFont="1" applyBorder="1" applyAlignment="1">
      <alignment horizontal="center" vertical="center" wrapText="1"/>
    </xf>
    <xf numFmtId="0" fontId="59" fillId="0" borderId="2" xfId="3" applyNumberFormat="1" applyFont="1" applyBorder="1" applyAlignment="1">
      <alignment horizontal="center" vertical="center"/>
    </xf>
    <xf numFmtId="9" fontId="41" fillId="0" borderId="2" xfId="3" applyFont="1" applyBorder="1" applyAlignment="1">
      <alignment horizontal="center" vertical="center"/>
    </xf>
    <xf numFmtId="0" fontId="42" fillId="0" borderId="2" xfId="3" applyNumberFormat="1" applyFont="1" applyBorder="1" applyAlignment="1">
      <alignment horizontal="center" vertical="center"/>
    </xf>
    <xf numFmtId="9" fontId="42" fillId="0" borderId="2" xfId="3" applyFont="1" applyBorder="1" applyAlignment="1">
      <alignment horizontal="center" vertical="center" wrapText="1"/>
    </xf>
    <xf numFmtId="9" fontId="39" fillId="0" borderId="2" xfId="3" applyFont="1" applyBorder="1" applyAlignment="1">
      <alignment horizontal="center" vertical="center"/>
    </xf>
    <xf numFmtId="0" fontId="60" fillId="0" borderId="2" xfId="3" applyNumberFormat="1" applyFont="1" applyBorder="1" applyAlignment="1">
      <alignment horizontal="center" vertical="center"/>
    </xf>
    <xf numFmtId="9" fontId="60" fillId="0" borderId="2" xfId="3" applyFont="1" applyBorder="1" applyAlignment="1">
      <alignment horizontal="center" vertical="center" wrapText="1"/>
    </xf>
    <xf numFmtId="182" fontId="39" fillId="0" borderId="2" xfId="3" applyNumberFormat="1" applyFont="1" applyBorder="1" applyAlignment="1">
      <alignment horizontal="center" vertical="center"/>
    </xf>
    <xf numFmtId="0" fontId="60" fillId="0" borderId="2" xfId="54" applyFont="1" applyBorder="1" applyAlignment="1">
      <alignment horizontal="center" vertical="center"/>
    </xf>
    <xf numFmtId="0" fontId="60" fillId="0" borderId="2" xfId="54" applyFont="1" applyBorder="1" applyAlignment="1">
      <alignment horizontal="center" vertical="center" wrapText="1"/>
    </xf>
    <xf numFmtId="0" fontId="60" fillId="0" borderId="2" xfId="3" applyNumberFormat="1" applyFont="1" applyBorder="1" applyAlignment="1">
      <alignment horizontal="center" vertical="center" wrapText="1"/>
    </xf>
    <xf numFmtId="0" fontId="61" fillId="0" borderId="2" xfId="0" applyFont="1" applyBorder="1" applyAlignment="1">
      <alignment horizontal="center" vertical="center" wrapText="1"/>
    </xf>
    <xf numFmtId="0" fontId="60" fillId="0" borderId="2" xfId="0" applyFont="1" applyBorder="1" applyAlignment="1">
      <alignment horizontal="center" vertical="center" wrapText="1"/>
    </xf>
    <xf numFmtId="0" fontId="42" fillId="0" borderId="2" xfId="54" applyFont="1" applyBorder="1" applyAlignment="1">
      <alignment horizontal="center" vertical="center"/>
    </xf>
    <xf numFmtId="0" fontId="6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2" fillId="0" borderId="2" xfId="0" applyFont="1" applyBorder="1" applyAlignment="1">
      <alignment horizontal="center" vertical="center"/>
    </xf>
    <xf numFmtId="0" fontId="62" fillId="0" borderId="2" xfId="0" applyFont="1" applyBorder="1" applyAlignment="1">
      <alignment horizontal="center" vertical="center" wrapText="1"/>
    </xf>
    <xf numFmtId="0" fontId="62" fillId="0" borderId="2" xfId="0" applyFont="1" applyBorder="1" applyAlignment="1">
      <alignment vertical="center"/>
    </xf>
    <xf numFmtId="0" fontId="62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9" fontId="11" fillId="0" borderId="2" xfId="0" applyNumberFormat="1" applyFont="1" applyBorder="1" applyAlignment="1">
      <alignment vertical="center"/>
    </xf>
    <xf numFmtId="0" fontId="6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2" xfId="54" applyFont="1" applyBorder="1" applyAlignment="1">
      <alignment horizontal="center" vertical="center"/>
    </xf>
    <xf numFmtId="0" fontId="63" fillId="0" borderId="2" xfId="6" applyBorder="1" applyAlignment="1">
      <alignment horizontal="left" vertical="center"/>
    </xf>
    <xf numFmtId="0" fontId="64" fillId="0" borderId="0" xfId="0" applyFont="1" applyAlignment="1">
      <alignment vertical="center"/>
    </xf>
    <xf numFmtId="0" fontId="65" fillId="0" borderId="2" xfId="6" applyFont="1" applyBorder="1" applyAlignment="1">
      <alignment horizontal="left" vertical="center" wrapText="1"/>
    </xf>
    <xf numFmtId="0" fontId="66" fillId="0" borderId="2" xfId="6" applyFont="1" applyBorder="1" applyAlignment="1">
      <alignment horizontal="left" vertical="center"/>
    </xf>
    <xf numFmtId="0" fontId="66" fillId="0" borderId="2" xfId="6" applyFont="1" applyBorder="1" applyAlignment="1">
      <alignment horizontal="left" vertical="center" wrapText="1"/>
    </xf>
    <xf numFmtId="0" fontId="63" fillId="0" borderId="2" xfId="6" applyBorder="1" applyAlignment="1">
      <alignment horizontal="left" vertical="center" wrapText="1"/>
    </xf>
    <xf numFmtId="0" fontId="46" fillId="0" borderId="2" xfId="49" applyFont="1" applyBorder="1" applyAlignment="1" quotePrefix="1">
      <alignment horizontal="center" vertical="center" wrapText="1"/>
    </xf>
    <xf numFmtId="0" fontId="19" fillId="0" borderId="22" xfId="49" applyFont="1" applyBorder="1" applyAlignment="1" quotePrefix="1">
      <alignment horizontal="left" vertical="center"/>
    </xf>
  </cellXfs>
  <cellStyles count="5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3" xfId="50"/>
    <cellStyle name="Currency 2" xfId="51"/>
    <cellStyle name="Percent 2" xfId="52"/>
    <cellStyle name="Hyperlink 2" xfId="53"/>
    <cellStyle name="Normal 4" xfId="54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FF000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customStorage" Target="customStorage/customStorage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33132</xdr:colOff>
      <xdr:row>1</xdr:row>
      <xdr:rowOff>0</xdr:rowOff>
    </xdr:from>
    <xdr:to>
      <xdr:col>2</xdr:col>
      <xdr:colOff>583492</xdr:colOff>
      <xdr:row>8</xdr:row>
      <xdr:rowOff>149087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020" y="167640"/>
          <a:ext cx="2195830" cy="1529715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38101</xdr:colOff>
      <xdr:row>1</xdr:row>
      <xdr:rowOff>123825</xdr:rowOff>
    </xdr:from>
    <xdr:to>
      <xdr:col>3</xdr:col>
      <xdr:colOff>399054</xdr:colOff>
      <xdr:row>6</xdr:row>
      <xdr:rowOff>161925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8100" y="299085"/>
          <a:ext cx="1771015" cy="122301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supremeswitchgears@yahoo.com" TargetMode="External"/><Relationship Id="rId8" Type="http://schemas.openxmlformats.org/officeDocument/2006/relationships/hyperlink" Target="mailto:uvw@gmail.com" TargetMode="External"/><Relationship Id="rId7" Type="http://schemas.openxmlformats.org/officeDocument/2006/relationships/hyperlink" Target="mailto:rst@gmail.com" TargetMode="External"/><Relationship Id="rId6" Type="http://schemas.openxmlformats.org/officeDocument/2006/relationships/hyperlink" Target="mailto:opq@gmail.com" TargetMode="External"/><Relationship Id="rId5" Type="http://schemas.openxmlformats.org/officeDocument/2006/relationships/hyperlink" Target="mailto:lmn@gmail.com" TargetMode="External"/><Relationship Id="rId4" Type="http://schemas.openxmlformats.org/officeDocument/2006/relationships/hyperlink" Target="mailto:hij@gmail.com" TargetMode="External"/><Relationship Id="rId3" Type="http://schemas.openxmlformats.org/officeDocument/2006/relationships/hyperlink" Target="mailto:factory@daggermaster.com" TargetMode="External"/><Relationship Id="rId2" Type="http://schemas.openxmlformats.org/officeDocument/2006/relationships/hyperlink" Target="mailto:info@abcheaters.in" TargetMode="External"/><Relationship Id="rId15" Type="http://schemas.openxmlformats.org/officeDocument/2006/relationships/hyperlink" Target="mailto:bno@gmail.com" TargetMode="External"/><Relationship Id="rId14" Type="http://schemas.openxmlformats.org/officeDocument/2006/relationships/hyperlink" Target="mailto:rty@gmail.com" TargetMode="External"/><Relationship Id="rId13" Type="http://schemas.openxmlformats.org/officeDocument/2006/relationships/hyperlink" Target="mailto:qwe@gmail.com" TargetMode="External"/><Relationship Id="rId12" Type="http://schemas.openxmlformats.org/officeDocument/2006/relationships/hyperlink" Target="mailto:store@rayonilluminations.com" TargetMode="External"/><Relationship Id="rId11" Type="http://schemas.openxmlformats.org/officeDocument/2006/relationships/hyperlink" Target="mailto:bvz@gmail.com" TargetMode="External"/><Relationship Id="rId10" Type="http://schemas.openxmlformats.org/officeDocument/2006/relationships/hyperlink" Target="mailto:pqr@gmail.com" TargetMode="External"/><Relationship Id="rId1" Type="http://schemas.openxmlformats.org/officeDocument/2006/relationships/hyperlink" Target="mailto:xyz@gmail.com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bvz@gmail.com" TargetMode="External"/><Relationship Id="rId8" Type="http://schemas.openxmlformats.org/officeDocument/2006/relationships/hyperlink" Target="mailto:pqr@gmail.com" TargetMode="External"/><Relationship Id="rId7" Type="http://schemas.openxmlformats.org/officeDocument/2006/relationships/hyperlink" Target="mailto:supremeswitchgears@yahoo.com" TargetMode="External"/><Relationship Id="rId6" Type="http://schemas.openxmlformats.org/officeDocument/2006/relationships/hyperlink" Target="mailto:uvw@gmail.com" TargetMode="External"/><Relationship Id="rId5" Type="http://schemas.openxmlformats.org/officeDocument/2006/relationships/hyperlink" Target="mailto:rst@gmail.com" TargetMode="External"/><Relationship Id="rId4" Type="http://schemas.openxmlformats.org/officeDocument/2006/relationships/hyperlink" Target="mailto:lmn@gmail.com" TargetMode="External"/><Relationship Id="rId3" Type="http://schemas.openxmlformats.org/officeDocument/2006/relationships/hyperlink" Target="mailto:opq@gmail.com" TargetMode="External"/><Relationship Id="rId2" Type="http://schemas.openxmlformats.org/officeDocument/2006/relationships/hyperlink" Target="mailto:info@abcheaters.in" TargetMode="External"/><Relationship Id="rId11" Type="http://schemas.openxmlformats.org/officeDocument/2006/relationships/hyperlink" Target="mailto:qwe@gmail.com" TargetMode="External"/><Relationship Id="rId10" Type="http://schemas.openxmlformats.org/officeDocument/2006/relationships/hyperlink" Target="mailto:tyu1@gmail.com" TargetMode="External"/><Relationship Id="rId1" Type="http://schemas.openxmlformats.org/officeDocument/2006/relationships/hyperlink" Target="mailto:xyz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N17"/>
  <sheetViews>
    <sheetView workbookViewId="0">
      <selection activeCell="H17" sqref="H17"/>
    </sheetView>
  </sheetViews>
  <sheetFormatPr defaultColWidth="9" defaultRowHeight="13.8"/>
  <cols>
    <col min="1" max="1" width="7.71296296296296" style="58" customWidth="1"/>
    <col min="2" max="2" width="25.712962962963" style="58" customWidth="1"/>
    <col min="3" max="3" width="40.712962962963" style="58" customWidth="1"/>
    <col min="4" max="4" width="15.712962962963" style="370" customWidth="1"/>
    <col min="5" max="7" width="8.28703703703704" style="58" customWidth="1"/>
    <col min="8" max="8" width="21.8518518518519" style="58" customWidth="1"/>
    <col min="9" max="9" width="7.71296296296296" style="58" customWidth="1"/>
    <col min="10" max="10" width="13.712962962963" style="58" customWidth="1"/>
    <col min="11" max="11" width="41.8518518518519" style="370" customWidth="1"/>
    <col min="12" max="12" width="12.712962962963" style="58" customWidth="1"/>
    <col min="13" max="13" width="14.4259259259259" style="58" customWidth="1"/>
    <col min="14" max="16384" width="9.13888888888889" style="58" customWidth="1"/>
  </cols>
  <sheetData>
    <row r="1" s="369" customFormat="1" ht="33.75" customHeight="1" spans="1:13">
      <c r="A1" s="371" t="s">
        <v>0</v>
      </c>
      <c r="B1" s="372" t="s">
        <v>1</v>
      </c>
      <c r="C1" s="373" t="s">
        <v>2</v>
      </c>
      <c r="D1" s="374" t="s">
        <v>3</v>
      </c>
      <c r="E1" s="373" t="s">
        <v>4</v>
      </c>
      <c r="F1" s="373" t="s">
        <v>5</v>
      </c>
      <c r="G1" s="373" t="s">
        <v>6</v>
      </c>
      <c r="H1" s="374" t="s">
        <v>7</v>
      </c>
      <c r="I1" s="372" t="s">
        <v>8</v>
      </c>
      <c r="J1" s="373" t="s">
        <v>9</v>
      </c>
      <c r="K1" s="374" t="s">
        <v>10</v>
      </c>
      <c r="L1" s="372" t="s">
        <v>11</v>
      </c>
      <c r="M1" s="373" t="s">
        <v>12</v>
      </c>
    </row>
    <row r="2" ht="42.75" customHeight="1" spans="1:14">
      <c r="A2" s="81">
        <v>1</v>
      </c>
      <c r="B2" s="375" t="s">
        <v>13</v>
      </c>
      <c r="C2" s="112" t="s">
        <v>14</v>
      </c>
      <c r="D2" s="375" t="s">
        <v>15</v>
      </c>
      <c r="E2" s="376">
        <v>0.09</v>
      </c>
      <c r="F2" s="376">
        <v>0.09</v>
      </c>
      <c r="G2" s="376">
        <v>0</v>
      </c>
      <c r="H2" s="93" t="s">
        <v>16</v>
      </c>
      <c r="I2" s="93">
        <v>27</v>
      </c>
      <c r="J2" s="81" t="s">
        <v>17</v>
      </c>
      <c r="K2" s="383" t="s">
        <v>18</v>
      </c>
      <c r="L2" s="81">
        <v>0</v>
      </c>
      <c r="M2" s="128" t="s">
        <v>19</v>
      </c>
      <c r="N2" s="384" t="s">
        <v>20</v>
      </c>
    </row>
    <row r="3" ht="42.75" customHeight="1" spans="1:14">
      <c r="A3" s="377">
        <v>2</v>
      </c>
      <c r="B3" s="375" t="s">
        <v>21</v>
      </c>
      <c r="C3" s="378" t="s">
        <v>22</v>
      </c>
      <c r="D3" s="375" t="s">
        <v>23</v>
      </c>
      <c r="E3" s="376">
        <v>0</v>
      </c>
      <c r="F3" s="376">
        <v>0</v>
      </c>
      <c r="G3" s="376">
        <v>0</v>
      </c>
      <c r="H3" s="81"/>
      <c r="I3" s="93">
        <v>27</v>
      </c>
      <c r="J3" s="81" t="s">
        <v>17</v>
      </c>
      <c r="K3" s="383" t="s">
        <v>24</v>
      </c>
      <c r="L3" s="81"/>
      <c r="M3" s="128"/>
      <c r="N3" s="384" t="s">
        <v>25</v>
      </c>
    </row>
    <row r="4" ht="54" customHeight="1" spans="1:13">
      <c r="A4" s="377">
        <v>3</v>
      </c>
      <c r="B4" s="379" t="s">
        <v>26</v>
      </c>
      <c r="C4" s="380" t="s">
        <v>27</v>
      </c>
      <c r="D4" s="375" t="s">
        <v>28</v>
      </c>
      <c r="E4" s="376">
        <v>0.09</v>
      </c>
      <c r="F4" s="376">
        <v>0.09</v>
      </c>
      <c r="G4" s="376">
        <v>0</v>
      </c>
      <c r="H4" s="93" t="s">
        <v>29</v>
      </c>
      <c r="I4" s="93">
        <v>27</v>
      </c>
      <c r="J4" s="81" t="s">
        <v>17</v>
      </c>
      <c r="K4" s="385" t="s">
        <v>18</v>
      </c>
      <c r="L4" s="81">
        <v>0</v>
      </c>
      <c r="M4" s="128" t="s">
        <v>19</v>
      </c>
    </row>
    <row r="5" ht="58.5" customHeight="1" spans="1:13">
      <c r="A5" s="81">
        <v>4</v>
      </c>
      <c r="B5" s="380" t="s">
        <v>30</v>
      </c>
      <c r="C5" s="380" t="s">
        <v>31</v>
      </c>
      <c r="D5" s="375" t="s">
        <v>32</v>
      </c>
      <c r="E5" s="376">
        <v>0.09</v>
      </c>
      <c r="F5" s="376">
        <v>0.09</v>
      </c>
      <c r="G5" s="376">
        <v>0</v>
      </c>
      <c r="H5" s="93" t="s">
        <v>33</v>
      </c>
      <c r="I5" s="93">
        <v>27</v>
      </c>
      <c r="J5" s="81" t="s">
        <v>17</v>
      </c>
      <c r="K5" s="383" t="s">
        <v>18</v>
      </c>
      <c r="L5" s="81">
        <v>60</v>
      </c>
      <c r="M5" s="128" t="s">
        <v>19</v>
      </c>
    </row>
    <row r="6" ht="28.5" customHeight="1" spans="1:13">
      <c r="A6" s="377">
        <v>5</v>
      </c>
      <c r="B6" s="379" t="s">
        <v>34</v>
      </c>
      <c r="C6" s="378" t="s">
        <v>35</v>
      </c>
      <c r="D6" s="375" t="s">
        <v>28</v>
      </c>
      <c r="E6" s="376">
        <v>0.09</v>
      </c>
      <c r="F6" s="376">
        <v>0.09</v>
      </c>
      <c r="G6" s="376">
        <v>0</v>
      </c>
      <c r="H6" s="93" t="s">
        <v>36</v>
      </c>
      <c r="I6" s="93">
        <v>27</v>
      </c>
      <c r="J6" s="81" t="s">
        <v>17</v>
      </c>
      <c r="K6" s="383" t="s">
        <v>18</v>
      </c>
      <c r="L6" s="81">
        <v>0</v>
      </c>
      <c r="M6" s="128" t="s">
        <v>19</v>
      </c>
    </row>
    <row r="7" ht="28.5" customHeight="1" spans="1:13">
      <c r="A7" s="81">
        <v>6</v>
      </c>
      <c r="B7" s="380" t="s">
        <v>37</v>
      </c>
      <c r="C7" s="380" t="s">
        <v>38</v>
      </c>
      <c r="D7" s="375" t="s">
        <v>32</v>
      </c>
      <c r="E7" s="376">
        <v>0.09</v>
      </c>
      <c r="F7" s="376">
        <v>0.09</v>
      </c>
      <c r="G7" s="376">
        <v>0</v>
      </c>
      <c r="H7" s="93" t="s">
        <v>33</v>
      </c>
      <c r="I7" s="93">
        <v>27</v>
      </c>
      <c r="J7" s="81" t="s">
        <v>17</v>
      </c>
      <c r="K7" s="383" t="s">
        <v>18</v>
      </c>
      <c r="L7" s="81">
        <v>60</v>
      </c>
      <c r="M7" s="128" t="s">
        <v>19</v>
      </c>
    </row>
    <row r="8" ht="28.5" customHeight="1" spans="1:13">
      <c r="A8" s="377">
        <v>7</v>
      </c>
      <c r="B8" s="380" t="s">
        <v>39</v>
      </c>
      <c r="C8" s="380" t="s">
        <v>40</v>
      </c>
      <c r="D8" s="381" t="s">
        <v>41</v>
      </c>
      <c r="E8" s="376">
        <v>0.06</v>
      </c>
      <c r="F8" s="376">
        <v>0.06</v>
      </c>
      <c r="G8" s="376">
        <v>0</v>
      </c>
      <c r="H8" s="93" t="s">
        <v>42</v>
      </c>
      <c r="I8" s="93">
        <v>27</v>
      </c>
      <c r="J8" s="81" t="s">
        <v>17</v>
      </c>
      <c r="K8" s="383" t="s">
        <v>18</v>
      </c>
      <c r="L8" s="81">
        <v>30</v>
      </c>
      <c r="M8" s="128" t="s">
        <v>19</v>
      </c>
    </row>
    <row r="9" ht="42.75" customHeight="1" spans="1:13">
      <c r="A9" s="81">
        <v>8</v>
      </c>
      <c r="B9" s="380" t="s">
        <v>43</v>
      </c>
      <c r="C9" s="380" t="s">
        <v>44</v>
      </c>
      <c r="D9" s="381" t="s">
        <v>45</v>
      </c>
      <c r="E9" s="376">
        <v>0.06</v>
      </c>
      <c r="F9" s="376">
        <v>0.06</v>
      </c>
      <c r="G9" s="376">
        <v>0</v>
      </c>
      <c r="H9" s="93" t="s">
        <v>46</v>
      </c>
      <c r="I9" s="93">
        <v>27</v>
      </c>
      <c r="J9" s="81" t="s">
        <v>17</v>
      </c>
      <c r="K9" s="383" t="s">
        <v>18</v>
      </c>
      <c r="L9" s="81">
        <v>90</v>
      </c>
      <c r="M9" s="128" t="s">
        <v>19</v>
      </c>
    </row>
    <row r="10" ht="42.75" customHeight="1" spans="1:13">
      <c r="A10" s="81">
        <v>9</v>
      </c>
      <c r="B10" s="380" t="s">
        <v>47</v>
      </c>
      <c r="C10" s="380" t="s">
        <v>48</v>
      </c>
      <c r="D10" s="381" t="s">
        <v>49</v>
      </c>
      <c r="E10" s="376">
        <v>0.09</v>
      </c>
      <c r="F10" s="376">
        <v>0.09</v>
      </c>
      <c r="G10" s="376">
        <v>0</v>
      </c>
      <c r="H10" s="93" t="s">
        <v>50</v>
      </c>
      <c r="I10" s="93">
        <v>27</v>
      </c>
      <c r="J10" s="81" t="s">
        <v>17</v>
      </c>
      <c r="K10" s="386" t="s">
        <v>18</v>
      </c>
      <c r="L10" s="81">
        <v>30</v>
      </c>
      <c r="M10" s="128" t="s">
        <v>19</v>
      </c>
    </row>
    <row r="11" ht="28.5" customHeight="1" spans="1:13">
      <c r="A11" s="81">
        <v>10</v>
      </c>
      <c r="B11" s="380" t="s">
        <v>51</v>
      </c>
      <c r="C11" s="378" t="s">
        <v>52</v>
      </c>
      <c r="D11" s="381" t="s">
        <v>53</v>
      </c>
      <c r="E11" s="376">
        <v>0.09</v>
      </c>
      <c r="F11" s="376">
        <v>0.09</v>
      </c>
      <c r="G11" s="376">
        <v>0</v>
      </c>
      <c r="H11" s="93" t="s">
        <v>54</v>
      </c>
      <c r="I11" s="93">
        <v>27</v>
      </c>
      <c r="J11" s="81" t="s">
        <v>17</v>
      </c>
      <c r="K11" s="386" t="s">
        <v>18</v>
      </c>
      <c r="L11" s="81">
        <v>7</v>
      </c>
      <c r="M11" s="128" t="s">
        <v>19</v>
      </c>
    </row>
    <row r="12" ht="28.5" customHeight="1" spans="1:13">
      <c r="A12" s="377">
        <v>11</v>
      </c>
      <c r="B12" s="380" t="s">
        <v>55</v>
      </c>
      <c r="C12" s="378" t="s">
        <v>56</v>
      </c>
      <c r="D12" s="381" t="s">
        <v>57</v>
      </c>
      <c r="E12" s="376">
        <v>0.09</v>
      </c>
      <c r="F12" s="376">
        <v>0.09</v>
      </c>
      <c r="G12" s="376">
        <v>0</v>
      </c>
      <c r="H12" s="93" t="s">
        <v>58</v>
      </c>
      <c r="I12" s="93">
        <v>27</v>
      </c>
      <c r="J12" s="81" t="s">
        <v>17</v>
      </c>
      <c r="K12" s="383" t="s">
        <v>18</v>
      </c>
      <c r="L12" s="81">
        <v>30</v>
      </c>
      <c r="M12" s="128" t="s">
        <v>19</v>
      </c>
    </row>
    <row r="13" ht="28.5" customHeight="1" spans="1:13">
      <c r="A13" s="81">
        <v>12</v>
      </c>
      <c r="B13" s="380" t="s">
        <v>59</v>
      </c>
      <c r="C13" s="378" t="s">
        <v>60</v>
      </c>
      <c r="D13" s="381" t="s">
        <v>61</v>
      </c>
      <c r="E13" s="376">
        <v>0.09</v>
      </c>
      <c r="F13" s="376">
        <v>0.09</v>
      </c>
      <c r="G13" s="376">
        <v>0</v>
      </c>
      <c r="H13" s="93" t="s">
        <v>62</v>
      </c>
      <c r="I13" s="93">
        <v>27</v>
      </c>
      <c r="J13" s="81" t="s">
        <v>17</v>
      </c>
      <c r="K13" s="383" t="s">
        <v>18</v>
      </c>
      <c r="L13" s="81">
        <v>0</v>
      </c>
      <c r="M13" s="128" t="s">
        <v>19</v>
      </c>
    </row>
    <row r="14" ht="42.75" customHeight="1" spans="1:13">
      <c r="A14" s="81">
        <v>13</v>
      </c>
      <c r="B14" s="380" t="s">
        <v>63</v>
      </c>
      <c r="C14" s="378" t="s">
        <v>64</v>
      </c>
      <c r="D14" s="381" t="s">
        <v>65</v>
      </c>
      <c r="E14" s="376">
        <v>0.09</v>
      </c>
      <c r="F14" s="376">
        <v>0.09</v>
      </c>
      <c r="G14" s="376">
        <v>0</v>
      </c>
      <c r="H14" s="93" t="s">
        <v>66</v>
      </c>
      <c r="I14" s="93">
        <v>27</v>
      </c>
      <c r="J14" s="81" t="s">
        <v>17</v>
      </c>
      <c r="K14" s="387" t="s">
        <v>18</v>
      </c>
      <c r="L14" s="81">
        <v>30</v>
      </c>
      <c r="M14" s="128" t="s">
        <v>19</v>
      </c>
    </row>
    <row r="15" ht="42.75" customHeight="1" spans="1:13">
      <c r="A15" s="377">
        <v>14</v>
      </c>
      <c r="B15" s="380" t="s">
        <v>67</v>
      </c>
      <c r="C15" s="378" t="s">
        <v>68</v>
      </c>
      <c r="D15" s="381" t="s">
        <v>69</v>
      </c>
      <c r="E15" s="376">
        <v>0.09</v>
      </c>
      <c r="F15" s="376">
        <v>0.09</v>
      </c>
      <c r="G15" s="376">
        <v>0</v>
      </c>
      <c r="H15" s="93" t="s">
        <v>70</v>
      </c>
      <c r="I15" s="93">
        <v>27</v>
      </c>
      <c r="J15" s="81" t="s">
        <v>17</v>
      </c>
      <c r="K15" s="388" t="s">
        <v>18</v>
      </c>
      <c r="L15" s="81">
        <v>30</v>
      </c>
      <c r="M15" s="128" t="s">
        <v>19</v>
      </c>
    </row>
    <row r="16" ht="28.5" customHeight="1" spans="1:13">
      <c r="A16" s="81">
        <v>15</v>
      </c>
      <c r="B16" s="380" t="s">
        <v>71</v>
      </c>
      <c r="C16" s="380" t="s">
        <v>72</v>
      </c>
      <c r="D16" s="381" t="s">
        <v>73</v>
      </c>
      <c r="E16" s="376">
        <v>0.09</v>
      </c>
      <c r="F16" s="376">
        <v>0.09</v>
      </c>
      <c r="G16" s="376">
        <v>0</v>
      </c>
      <c r="H16" s="93" t="s">
        <v>74</v>
      </c>
      <c r="I16" s="93">
        <v>27</v>
      </c>
      <c r="J16" s="81" t="s">
        <v>17</v>
      </c>
      <c r="K16" s="388" t="s">
        <v>18</v>
      </c>
      <c r="L16" s="81">
        <v>30</v>
      </c>
      <c r="M16" s="128" t="s">
        <v>19</v>
      </c>
    </row>
    <row r="17" ht="28.5" customHeight="1" spans="1:13">
      <c r="A17" s="81">
        <v>16</v>
      </c>
      <c r="B17" s="380" t="s">
        <v>75</v>
      </c>
      <c r="C17" s="380" t="s">
        <v>76</v>
      </c>
      <c r="D17" s="381" t="s">
        <v>77</v>
      </c>
      <c r="E17" s="376">
        <v>0.09</v>
      </c>
      <c r="F17" s="376">
        <v>0.09</v>
      </c>
      <c r="G17" s="376">
        <v>0</v>
      </c>
      <c r="H17" s="382" t="s">
        <v>78</v>
      </c>
      <c r="I17" s="93">
        <v>27</v>
      </c>
      <c r="J17" s="81" t="s">
        <v>17</v>
      </c>
      <c r="K17" s="388" t="s">
        <v>18</v>
      </c>
      <c r="L17" s="81">
        <v>30</v>
      </c>
      <c r="M17" s="128" t="s">
        <v>19</v>
      </c>
    </row>
  </sheetData>
  <hyperlinks>
    <hyperlink ref="K2" r:id="rId1" display="palmatejanhavi@gmail.com"/>
    <hyperlink ref="K3" r:id="rId2" display="info@abcheaters.in"/>
    <hyperlink ref="K4" r:id="rId3" display="palmatejanhavi@gmail.com"/>
    <hyperlink ref="K5" r:id="rId4" display="palmatejanhavi@gmail.com"/>
    <hyperlink ref="K6" r:id="rId5" display="palmatejanhavi@gmail.com"/>
    <hyperlink ref="K7" r:id="rId6" display="palmatejanhavi@gmail.com"/>
    <hyperlink ref="K8" r:id="rId7" display="palmatejanhavi@gmail.com"/>
    <hyperlink ref="K9" r:id="rId8" display="palmatejanhavi@gmail.com"/>
    <hyperlink ref="K10" r:id="rId9" display="palmatejanhavi@gmail.com"/>
    <hyperlink ref="K11" r:id="rId9" display="palmatejanhavi@gmail.com"/>
    <hyperlink ref="K12" r:id="rId10" display="palmatejanhavi@gmail.com"/>
    <hyperlink ref="K13" r:id="rId11" display="palmatejanhavi@gmail.com"/>
    <hyperlink ref="K14" r:id="rId12" display="palmatejanhavi@gmail.com"/>
    <hyperlink ref="K15" r:id="rId13" display="palmatejanhavi@gmail.com"/>
    <hyperlink ref="K16" r:id="rId14" display="palmatejanhavi@gmail.com"/>
    <hyperlink ref="K17" r:id="rId15" display="palmatejanhavi@gmail.com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267"/>
  <sheetViews>
    <sheetView zoomScale="90" zoomScaleNormal="90" workbookViewId="0">
      <pane ySplit="1" topLeftCell="A2" activePane="bottomLeft" state="frozen"/>
      <selection/>
      <selection pane="bottomLeft" activeCell="R6" sqref="R6"/>
    </sheetView>
  </sheetViews>
  <sheetFormatPr defaultColWidth="17.1388888888889" defaultRowHeight="15.6"/>
  <cols>
    <col min="1" max="1" width="4.42592592592593" style="285" customWidth="1"/>
    <col min="2" max="2" width="30.712962962963" style="286" customWidth="1"/>
    <col min="3" max="3" width="59.8518518518519" style="287" customWidth="1"/>
    <col min="4" max="4" width="15" style="288" customWidth="1"/>
    <col min="5" max="5" width="40" style="287" customWidth="1"/>
    <col min="6" max="6" width="20.8518518518519" style="288" customWidth="1"/>
    <col min="7" max="7" width="5.13888888888889" style="288" customWidth="1"/>
    <col min="8" max="8" width="14.712962962963" style="288" customWidth="1"/>
    <col min="9" max="10" width="6" style="288" customWidth="1"/>
    <col min="11" max="11" width="7.28703703703704" style="288" customWidth="1"/>
    <col min="12" max="12" width="12.5740740740741" style="289" customWidth="1"/>
    <col min="13" max="13" width="17.5740740740741" style="289" customWidth="1"/>
    <col min="14" max="14" width="12.4259259259259" style="289" customWidth="1"/>
    <col min="15" max="15" width="14.8518518518519" style="289" customWidth="1"/>
    <col min="16" max="16" width="7.57407407407407" style="289" customWidth="1"/>
    <col min="17" max="16384" width="17.1388888888889" style="288" customWidth="1"/>
  </cols>
  <sheetData>
    <row r="1" ht="63" customHeight="1" spans="1:16">
      <c r="A1" s="290" t="s">
        <v>79</v>
      </c>
      <c r="B1" s="291" t="s">
        <v>80</v>
      </c>
      <c r="C1" s="290" t="s">
        <v>2</v>
      </c>
      <c r="D1" s="290" t="s">
        <v>81</v>
      </c>
      <c r="E1" s="290" t="s">
        <v>82</v>
      </c>
      <c r="F1" s="290" t="s">
        <v>83</v>
      </c>
      <c r="G1" s="290" t="s">
        <v>8</v>
      </c>
      <c r="H1" s="290" t="s">
        <v>9</v>
      </c>
      <c r="I1" s="290" t="s">
        <v>4</v>
      </c>
      <c r="J1" s="290" t="s">
        <v>5</v>
      </c>
      <c r="K1" s="290" t="s">
        <v>6</v>
      </c>
      <c r="L1" s="348" t="s">
        <v>84</v>
      </c>
      <c r="M1" s="348" t="s">
        <v>33</v>
      </c>
      <c r="N1" s="348" t="s">
        <v>85</v>
      </c>
      <c r="O1" s="348" t="s">
        <v>86</v>
      </c>
      <c r="P1" s="348" t="s">
        <v>87</v>
      </c>
    </row>
    <row r="2" s="282" customFormat="1" ht="31.5" customHeight="1" spans="1:16">
      <c r="A2" s="292">
        <v>1</v>
      </c>
      <c r="B2" s="293" t="s">
        <v>88</v>
      </c>
      <c r="C2" s="294" t="s">
        <v>89</v>
      </c>
      <c r="D2" s="292" t="s">
        <v>15</v>
      </c>
      <c r="E2" s="295" t="s">
        <v>18</v>
      </c>
      <c r="F2" s="292" t="s">
        <v>16</v>
      </c>
      <c r="G2" s="292">
        <v>27</v>
      </c>
      <c r="H2" s="292" t="s">
        <v>17</v>
      </c>
      <c r="I2" s="349">
        <v>0.09</v>
      </c>
      <c r="J2" s="349">
        <v>0.09</v>
      </c>
      <c r="K2" s="349">
        <v>0</v>
      </c>
      <c r="L2" s="350" t="s">
        <v>90</v>
      </c>
      <c r="M2" s="350"/>
      <c r="N2" s="351" t="s">
        <v>91</v>
      </c>
      <c r="O2" s="351"/>
      <c r="P2" s="351" t="s">
        <v>92</v>
      </c>
    </row>
    <row r="3" s="282" customFormat="1" ht="31.5" customHeight="1" spans="1:16">
      <c r="A3" s="292">
        <v>2</v>
      </c>
      <c r="B3" s="293" t="s">
        <v>93</v>
      </c>
      <c r="C3" s="294" t="s">
        <v>94</v>
      </c>
      <c r="D3" s="292" t="s">
        <v>23</v>
      </c>
      <c r="E3" s="295" t="s">
        <v>24</v>
      </c>
      <c r="F3" s="296"/>
      <c r="G3" s="296">
        <v>27</v>
      </c>
      <c r="H3" s="296" t="s">
        <v>17</v>
      </c>
      <c r="I3" s="349">
        <v>0.09</v>
      </c>
      <c r="J3" s="349">
        <v>0.09</v>
      </c>
      <c r="K3" s="349">
        <v>0</v>
      </c>
      <c r="L3" s="350" t="s">
        <v>90</v>
      </c>
      <c r="M3" s="350"/>
      <c r="N3" s="351" t="s">
        <v>19</v>
      </c>
      <c r="O3" s="351"/>
      <c r="P3" s="351" t="s">
        <v>92</v>
      </c>
    </row>
    <row r="4" s="283" customFormat="1" ht="31.5" customHeight="1" spans="1:16">
      <c r="A4" s="297">
        <v>3</v>
      </c>
      <c r="B4" s="298" t="s">
        <v>95</v>
      </c>
      <c r="C4" s="299" t="s">
        <v>96</v>
      </c>
      <c r="D4" s="297" t="s">
        <v>32</v>
      </c>
      <c r="E4" s="300" t="s">
        <v>18</v>
      </c>
      <c r="F4" s="297" t="s">
        <v>33</v>
      </c>
      <c r="G4" s="297">
        <v>27</v>
      </c>
      <c r="H4" s="297" t="s">
        <v>17</v>
      </c>
      <c r="I4" s="352">
        <v>0.09</v>
      </c>
      <c r="J4" s="352">
        <v>0.09</v>
      </c>
      <c r="K4" s="352">
        <v>0</v>
      </c>
      <c r="L4" s="353" t="s">
        <v>97</v>
      </c>
      <c r="M4" s="353"/>
      <c r="N4" s="354" t="s">
        <v>19</v>
      </c>
      <c r="O4" s="354"/>
      <c r="P4" s="354" t="s">
        <v>98</v>
      </c>
    </row>
    <row r="5" s="282" customFormat="1" spans="1:16">
      <c r="A5" s="292">
        <v>4</v>
      </c>
      <c r="B5" s="293" t="s">
        <v>99</v>
      </c>
      <c r="C5" s="294" t="s">
        <v>96</v>
      </c>
      <c r="D5" s="292" t="s">
        <v>28</v>
      </c>
      <c r="E5" s="295" t="s">
        <v>18</v>
      </c>
      <c r="F5" s="292" t="s">
        <v>36</v>
      </c>
      <c r="G5" s="292">
        <v>27</v>
      </c>
      <c r="H5" s="292" t="s">
        <v>17</v>
      </c>
      <c r="I5" s="349">
        <v>0.025</v>
      </c>
      <c r="J5" s="349">
        <v>0.025</v>
      </c>
      <c r="K5" s="349">
        <v>0</v>
      </c>
      <c r="L5" s="350" t="s">
        <v>100</v>
      </c>
      <c r="M5" s="350"/>
      <c r="N5" s="351" t="s">
        <v>19</v>
      </c>
      <c r="O5" s="351"/>
      <c r="P5" s="351" t="s">
        <v>92</v>
      </c>
    </row>
    <row r="6" s="282" customFormat="1" ht="31.5" customHeight="1" spans="1:16">
      <c r="A6" s="292">
        <v>5</v>
      </c>
      <c r="B6" s="293" t="s">
        <v>101</v>
      </c>
      <c r="C6" s="294" t="s">
        <v>96</v>
      </c>
      <c r="D6" s="292" t="s">
        <v>32</v>
      </c>
      <c r="E6" s="295" t="s">
        <v>18</v>
      </c>
      <c r="F6" s="292" t="s">
        <v>33</v>
      </c>
      <c r="G6" s="292">
        <v>27</v>
      </c>
      <c r="H6" s="292" t="s">
        <v>17</v>
      </c>
      <c r="I6" s="349">
        <v>0.09</v>
      </c>
      <c r="J6" s="349">
        <v>0.09</v>
      </c>
      <c r="K6" s="349">
        <v>0</v>
      </c>
      <c r="L6" s="350" t="s">
        <v>97</v>
      </c>
      <c r="M6" s="350"/>
      <c r="N6" s="351" t="s">
        <v>19</v>
      </c>
      <c r="O6" s="351"/>
      <c r="P6" s="351" t="s">
        <v>92</v>
      </c>
    </row>
    <row r="7" s="282" customFormat="1" spans="1:16">
      <c r="A7" s="292">
        <v>6</v>
      </c>
      <c r="B7" s="293" t="s">
        <v>102</v>
      </c>
      <c r="C7" s="294" t="s">
        <v>96</v>
      </c>
      <c r="D7" s="301" t="s">
        <v>103</v>
      </c>
      <c r="E7" s="295" t="s">
        <v>18</v>
      </c>
      <c r="F7" s="292" t="s">
        <v>42</v>
      </c>
      <c r="G7" s="292">
        <v>27</v>
      </c>
      <c r="H7" s="292" t="s">
        <v>17</v>
      </c>
      <c r="I7" s="349">
        <v>0.09</v>
      </c>
      <c r="J7" s="349">
        <v>0.09</v>
      </c>
      <c r="K7" s="349">
        <v>0</v>
      </c>
      <c r="L7" s="350" t="s">
        <v>104</v>
      </c>
      <c r="M7" s="350"/>
      <c r="N7" s="351" t="s">
        <v>19</v>
      </c>
      <c r="O7" s="351"/>
      <c r="P7" s="351" t="s">
        <v>92</v>
      </c>
    </row>
    <row r="8" s="283" customFormat="1" ht="31.5" customHeight="1" spans="1:16">
      <c r="A8" s="297">
        <v>7</v>
      </c>
      <c r="B8" s="298" t="s">
        <v>105</v>
      </c>
      <c r="C8" s="299" t="s">
        <v>96</v>
      </c>
      <c r="D8" s="302" t="s">
        <v>106</v>
      </c>
      <c r="E8" s="300" t="s">
        <v>18</v>
      </c>
      <c r="F8" s="297" t="s">
        <v>46</v>
      </c>
      <c r="G8" s="297">
        <v>27</v>
      </c>
      <c r="H8" s="297" t="s">
        <v>17</v>
      </c>
      <c r="I8" s="352">
        <v>0.06</v>
      </c>
      <c r="J8" s="352">
        <v>0.06</v>
      </c>
      <c r="K8" s="352">
        <v>0</v>
      </c>
      <c r="L8" s="353" t="s">
        <v>107</v>
      </c>
      <c r="M8" s="353"/>
      <c r="N8" s="354" t="s">
        <v>19</v>
      </c>
      <c r="O8" s="354"/>
      <c r="P8" s="354" t="s">
        <v>98</v>
      </c>
    </row>
    <row r="9" s="282" customFormat="1" spans="1:16">
      <c r="A9" s="292">
        <v>8</v>
      </c>
      <c r="B9" s="293" t="s">
        <v>108</v>
      </c>
      <c r="C9" s="294" t="s">
        <v>96</v>
      </c>
      <c r="D9" s="301" t="s">
        <v>49</v>
      </c>
      <c r="E9" s="303" t="s">
        <v>18</v>
      </c>
      <c r="F9" s="292" t="s">
        <v>50</v>
      </c>
      <c r="G9" s="292">
        <v>27</v>
      </c>
      <c r="H9" s="292" t="s">
        <v>17</v>
      </c>
      <c r="I9" s="349">
        <v>0.09</v>
      </c>
      <c r="J9" s="349">
        <v>0.09</v>
      </c>
      <c r="K9" s="349">
        <v>0</v>
      </c>
      <c r="L9" s="350" t="s">
        <v>97</v>
      </c>
      <c r="M9" s="350"/>
      <c r="N9" s="351" t="s">
        <v>19</v>
      </c>
      <c r="O9" s="351"/>
      <c r="P9" s="351" t="s">
        <v>98</v>
      </c>
    </row>
    <row r="10" s="282" customFormat="1" spans="1:16">
      <c r="A10" s="292">
        <v>9</v>
      </c>
      <c r="B10" s="293" t="s">
        <v>109</v>
      </c>
      <c r="C10" s="294" t="s">
        <v>96</v>
      </c>
      <c r="D10" s="301" t="s">
        <v>57</v>
      </c>
      <c r="E10" s="295" t="s">
        <v>18</v>
      </c>
      <c r="F10" s="292" t="s">
        <v>58</v>
      </c>
      <c r="G10" s="292">
        <v>27</v>
      </c>
      <c r="H10" s="292" t="s">
        <v>17</v>
      </c>
      <c r="I10" s="349">
        <v>0.09</v>
      </c>
      <c r="J10" s="349">
        <v>0.09</v>
      </c>
      <c r="K10" s="349">
        <v>0</v>
      </c>
      <c r="L10" s="350" t="s">
        <v>97</v>
      </c>
      <c r="M10" s="350"/>
      <c r="N10" s="351" t="s">
        <v>19</v>
      </c>
      <c r="O10" s="351"/>
      <c r="P10" s="351" t="s">
        <v>92</v>
      </c>
    </row>
    <row r="11" s="283" customFormat="1" spans="1:16">
      <c r="A11" s="297">
        <v>10</v>
      </c>
      <c r="B11" s="298" t="s">
        <v>110</v>
      </c>
      <c r="C11" s="299" t="s">
        <v>96</v>
      </c>
      <c r="D11" s="302" t="s">
        <v>111</v>
      </c>
      <c r="E11" s="300" t="s">
        <v>18</v>
      </c>
      <c r="F11" s="297" t="s">
        <v>62</v>
      </c>
      <c r="G11" s="297">
        <v>27</v>
      </c>
      <c r="H11" s="297" t="s">
        <v>17</v>
      </c>
      <c r="I11" s="352">
        <v>0.09</v>
      </c>
      <c r="J11" s="352">
        <v>0.09</v>
      </c>
      <c r="K11" s="352">
        <v>0</v>
      </c>
      <c r="L11" s="353" t="s">
        <v>100</v>
      </c>
      <c r="M11" s="353"/>
      <c r="N11" s="354" t="s">
        <v>112</v>
      </c>
      <c r="O11" s="354"/>
      <c r="P11" s="354" t="s">
        <v>98</v>
      </c>
    </row>
    <row r="12" s="283" customFormat="1" ht="31.5" customHeight="1" spans="1:16">
      <c r="A12" s="297">
        <v>11</v>
      </c>
      <c r="B12" s="298" t="s">
        <v>113</v>
      </c>
      <c r="C12" s="299" t="s">
        <v>96</v>
      </c>
      <c r="D12" s="302" t="s">
        <v>65</v>
      </c>
      <c r="E12" s="300" t="s">
        <v>18</v>
      </c>
      <c r="F12" s="297" t="s">
        <v>66</v>
      </c>
      <c r="G12" s="297">
        <v>27</v>
      </c>
      <c r="H12" s="297" t="s">
        <v>17</v>
      </c>
      <c r="I12" s="352">
        <v>0.09</v>
      </c>
      <c r="J12" s="352">
        <v>0.09</v>
      </c>
      <c r="K12" s="352">
        <v>0</v>
      </c>
      <c r="L12" s="353" t="s">
        <v>100</v>
      </c>
      <c r="M12" s="353"/>
      <c r="N12" s="354" t="s">
        <v>19</v>
      </c>
      <c r="O12" s="354"/>
      <c r="P12" s="354" t="s">
        <v>98</v>
      </c>
    </row>
    <row r="13" s="282" customFormat="1" ht="31.5" customHeight="1" spans="1:16">
      <c r="A13" s="292">
        <v>12</v>
      </c>
      <c r="B13" s="293" t="s">
        <v>114</v>
      </c>
      <c r="C13" s="294" t="s">
        <v>96</v>
      </c>
      <c r="D13" s="301" t="s">
        <v>69</v>
      </c>
      <c r="E13" s="304" t="s">
        <v>18</v>
      </c>
      <c r="F13" s="292" t="s">
        <v>70</v>
      </c>
      <c r="G13" s="292">
        <v>27</v>
      </c>
      <c r="H13" s="292" t="s">
        <v>17</v>
      </c>
      <c r="I13" s="349">
        <v>0.09</v>
      </c>
      <c r="J13" s="349">
        <v>0.09</v>
      </c>
      <c r="K13" s="349">
        <v>0</v>
      </c>
      <c r="L13" s="350" t="s">
        <v>115</v>
      </c>
      <c r="M13" s="350"/>
      <c r="N13" s="351" t="s">
        <v>19</v>
      </c>
      <c r="O13" s="351"/>
      <c r="P13" s="351" t="s">
        <v>92</v>
      </c>
    </row>
    <row r="14" s="283" customFormat="1" spans="1:16">
      <c r="A14" s="297">
        <v>13</v>
      </c>
      <c r="B14" s="305" t="s">
        <v>109</v>
      </c>
      <c r="C14" s="299" t="s">
        <v>96</v>
      </c>
      <c r="D14" s="389" t="s">
        <v>57</v>
      </c>
      <c r="E14" s="307" t="s">
        <v>18</v>
      </c>
      <c r="F14" s="308" t="s">
        <v>58</v>
      </c>
      <c r="G14" s="308">
        <v>27</v>
      </c>
      <c r="H14" s="308" t="s">
        <v>17</v>
      </c>
      <c r="I14" s="352">
        <v>0.09</v>
      </c>
      <c r="J14" s="352">
        <v>0.09</v>
      </c>
      <c r="K14" s="352">
        <v>0</v>
      </c>
      <c r="L14" s="353" t="s">
        <v>97</v>
      </c>
      <c r="M14" s="353"/>
      <c r="N14" s="354" t="s">
        <v>19</v>
      </c>
      <c r="O14" s="354"/>
      <c r="P14" s="354" t="s">
        <v>98</v>
      </c>
    </row>
    <row r="15" s="283" customFormat="1" ht="31.5" customHeight="1" spans="1:16">
      <c r="A15" s="297">
        <v>14</v>
      </c>
      <c r="B15" s="309" t="s">
        <v>101</v>
      </c>
      <c r="C15" s="299" t="s">
        <v>96</v>
      </c>
      <c r="D15" s="310" t="s">
        <v>32</v>
      </c>
      <c r="E15" s="307" t="s">
        <v>18</v>
      </c>
      <c r="F15" s="311" t="s">
        <v>33</v>
      </c>
      <c r="G15" s="297">
        <v>27</v>
      </c>
      <c r="H15" s="297" t="s">
        <v>17</v>
      </c>
      <c r="I15" s="352">
        <v>0.09</v>
      </c>
      <c r="J15" s="352">
        <v>0.09</v>
      </c>
      <c r="K15" s="352">
        <v>0</v>
      </c>
      <c r="L15" s="355" t="s">
        <v>115</v>
      </c>
      <c r="M15" s="355"/>
      <c r="N15" s="354" t="s">
        <v>19</v>
      </c>
      <c r="O15" s="354"/>
      <c r="P15" s="354" t="s">
        <v>98</v>
      </c>
    </row>
    <row r="16" s="283" customFormat="1" spans="1:16">
      <c r="A16" s="310">
        <v>15</v>
      </c>
      <c r="B16" s="305" t="s">
        <v>116</v>
      </c>
      <c r="C16" s="299" t="s">
        <v>96</v>
      </c>
      <c r="D16" s="312" t="s">
        <v>77</v>
      </c>
      <c r="E16" s="313"/>
      <c r="F16" s="312" t="s">
        <v>78</v>
      </c>
      <c r="G16" s="297">
        <v>27</v>
      </c>
      <c r="H16" s="297" t="s">
        <v>17</v>
      </c>
      <c r="I16" s="352">
        <v>0.09</v>
      </c>
      <c r="J16" s="352">
        <v>0.09</v>
      </c>
      <c r="K16" s="352">
        <v>0</v>
      </c>
      <c r="L16" s="355" t="s">
        <v>97</v>
      </c>
      <c r="M16" s="355"/>
      <c r="N16" s="354" t="s">
        <v>117</v>
      </c>
      <c r="O16" s="354"/>
      <c r="P16" s="354" t="s">
        <v>98</v>
      </c>
    </row>
    <row r="17" spans="1:16">
      <c r="A17" s="314"/>
      <c r="B17" s="315"/>
      <c r="C17" s="294"/>
      <c r="D17" s="314"/>
      <c r="E17" s="316"/>
      <c r="F17" s="292"/>
      <c r="G17" s="292"/>
      <c r="H17" s="292"/>
      <c r="I17" s="356"/>
      <c r="J17" s="356"/>
      <c r="K17" s="356"/>
      <c r="L17" s="357"/>
      <c r="M17" s="357"/>
      <c r="N17" s="358"/>
      <c r="O17" s="358"/>
      <c r="P17" s="358"/>
    </row>
    <row r="18" s="284" customFormat="1" spans="1:16">
      <c r="A18" s="317"/>
      <c r="B18" s="318"/>
      <c r="C18" s="319"/>
      <c r="D18" s="317"/>
      <c r="E18" s="320"/>
      <c r="F18" s="321"/>
      <c r="G18" s="321"/>
      <c r="H18" s="321"/>
      <c r="I18" s="359"/>
      <c r="J18" s="359"/>
      <c r="K18" s="359"/>
      <c r="L18" s="360"/>
      <c r="M18" s="360"/>
      <c r="N18" s="361"/>
      <c r="O18" s="361"/>
      <c r="P18" s="361"/>
    </row>
    <row r="19" s="284" customFormat="1" spans="1:16">
      <c r="A19" s="317"/>
      <c r="B19" s="315"/>
      <c r="C19" s="319"/>
      <c r="D19" s="322"/>
      <c r="E19" s="320"/>
      <c r="F19" s="321"/>
      <c r="G19" s="323"/>
      <c r="H19" s="323"/>
      <c r="I19" s="359"/>
      <c r="J19" s="359"/>
      <c r="K19" s="359"/>
      <c r="L19" s="360"/>
      <c r="M19" s="360"/>
      <c r="N19" s="361"/>
      <c r="O19" s="361"/>
      <c r="P19" s="361"/>
    </row>
    <row r="20" s="284" customFormat="1" spans="1:16">
      <c r="A20" s="317"/>
      <c r="B20" s="315"/>
      <c r="C20" s="319"/>
      <c r="D20" s="322"/>
      <c r="E20" s="320"/>
      <c r="F20" s="321"/>
      <c r="G20" s="323"/>
      <c r="H20" s="323"/>
      <c r="I20" s="359"/>
      <c r="J20" s="359"/>
      <c r="K20" s="359"/>
      <c r="L20" s="360"/>
      <c r="M20" s="360"/>
      <c r="N20" s="361"/>
      <c r="O20" s="361"/>
      <c r="P20" s="361"/>
    </row>
    <row r="21" s="284" customFormat="1" spans="1:16">
      <c r="A21" s="317"/>
      <c r="B21" s="315"/>
      <c r="C21" s="319"/>
      <c r="D21" s="317"/>
      <c r="E21" s="320"/>
      <c r="F21" s="321"/>
      <c r="G21" s="321"/>
      <c r="H21" s="321"/>
      <c r="I21" s="359"/>
      <c r="J21" s="359"/>
      <c r="K21" s="359"/>
      <c r="L21" s="360"/>
      <c r="M21" s="360"/>
      <c r="N21" s="361"/>
      <c r="O21" s="361"/>
      <c r="P21" s="361"/>
    </row>
    <row r="22" s="284" customFormat="1" spans="1:16">
      <c r="A22" s="317"/>
      <c r="B22" s="315"/>
      <c r="C22" s="319"/>
      <c r="D22" s="317"/>
      <c r="E22" s="324"/>
      <c r="F22" s="321"/>
      <c r="G22" s="321"/>
      <c r="H22" s="321"/>
      <c r="I22" s="359"/>
      <c r="J22" s="359"/>
      <c r="K22" s="359"/>
      <c r="L22" s="360"/>
      <c r="M22" s="360"/>
      <c r="N22" s="361"/>
      <c r="O22" s="361"/>
      <c r="P22" s="361"/>
    </row>
    <row r="23" s="284" customFormat="1" spans="1:16">
      <c r="A23" s="317"/>
      <c r="B23" s="315"/>
      <c r="C23" s="319"/>
      <c r="D23" s="317"/>
      <c r="E23" s="324"/>
      <c r="F23" s="321"/>
      <c r="G23" s="321"/>
      <c r="H23" s="321"/>
      <c r="I23" s="359"/>
      <c r="J23" s="359"/>
      <c r="K23" s="359"/>
      <c r="L23" s="360"/>
      <c r="M23" s="360"/>
      <c r="N23" s="361"/>
      <c r="O23" s="361"/>
      <c r="P23" s="361"/>
    </row>
    <row r="24" s="284" customFormat="1" spans="1:16">
      <c r="A24" s="317"/>
      <c r="B24" s="315"/>
      <c r="C24" s="319"/>
      <c r="D24" s="317"/>
      <c r="E24" s="324"/>
      <c r="F24" s="321"/>
      <c r="G24" s="321"/>
      <c r="H24" s="321"/>
      <c r="I24" s="362"/>
      <c r="J24" s="362"/>
      <c r="K24" s="359"/>
      <c r="L24" s="360"/>
      <c r="M24" s="360"/>
      <c r="N24" s="361"/>
      <c r="O24" s="361"/>
      <c r="P24" s="361"/>
    </row>
    <row r="25" s="284" customFormat="1" spans="1:16">
      <c r="A25" s="317"/>
      <c r="B25" s="325"/>
      <c r="C25" s="319"/>
      <c r="D25" s="317"/>
      <c r="E25" s="324"/>
      <c r="F25" s="321"/>
      <c r="G25" s="321"/>
      <c r="H25" s="321"/>
      <c r="I25" s="359"/>
      <c r="J25" s="359"/>
      <c r="K25" s="359"/>
      <c r="L25" s="360"/>
      <c r="M25" s="360"/>
      <c r="N25" s="361"/>
      <c r="O25" s="361"/>
      <c r="P25" s="361"/>
    </row>
    <row r="26" s="284" customFormat="1" spans="1:16">
      <c r="A26" s="321"/>
      <c r="B26" s="325"/>
      <c r="C26" s="319"/>
      <c r="D26" s="326"/>
      <c r="E26" s="327"/>
      <c r="F26" s="326"/>
      <c r="G26" s="326"/>
      <c r="H26" s="321"/>
      <c r="I26" s="359"/>
      <c r="J26" s="359"/>
      <c r="K26" s="359"/>
      <c r="L26" s="363"/>
      <c r="M26" s="363"/>
      <c r="N26" s="363"/>
      <c r="O26" s="363"/>
      <c r="P26" s="363"/>
    </row>
    <row r="27" s="284" customFormat="1" spans="1:16">
      <c r="A27" s="321"/>
      <c r="B27" s="325"/>
      <c r="C27" s="319"/>
      <c r="D27" s="326"/>
      <c r="E27" s="328"/>
      <c r="F27" s="326"/>
      <c r="G27" s="326"/>
      <c r="H27" s="321"/>
      <c r="I27" s="359"/>
      <c r="J27" s="359"/>
      <c r="K27" s="359"/>
      <c r="L27" s="363"/>
      <c r="M27" s="363"/>
      <c r="N27" s="363"/>
      <c r="O27" s="363"/>
      <c r="P27" s="363"/>
    </row>
    <row r="28" s="284" customFormat="1" spans="1:16">
      <c r="A28" s="321"/>
      <c r="B28" s="325"/>
      <c r="C28" s="319"/>
      <c r="D28" s="326"/>
      <c r="E28" s="327"/>
      <c r="F28" s="326"/>
      <c r="G28" s="326"/>
      <c r="H28" s="321"/>
      <c r="I28" s="359"/>
      <c r="J28" s="359"/>
      <c r="K28" s="359"/>
      <c r="L28" s="363"/>
      <c r="M28" s="364"/>
      <c r="N28" s="363"/>
      <c r="O28" s="363"/>
      <c r="P28" s="363"/>
    </row>
    <row r="29" s="284" customFormat="1" spans="1:16">
      <c r="A29" s="321"/>
      <c r="B29" s="325"/>
      <c r="C29" s="319"/>
      <c r="D29" s="329"/>
      <c r="E29" s="328"/>
      <c r="F29" s="326"/>
      <c r="G29" s="326"/>
      <c r="H29" s="321"/>
      <c r="I29" s="359"/>
      <c r="J29" s="359"/>
      <c r="K29" s="359"/>
      <c r="L29" s="363"/>
      <c r="M29" s="363"/>
      <c r="N29" s="363"/>
      <c r="O29" s="363"/>
      <c r="P29" s="363"/>
    </row>
    <row r="30" s="284" customFormat="1" spans="1:16">
      <c r="A30" s="321"/>
      <c r="B30" s="325"/>
      <c r="C30" s="319"/>
      <c r="D30" s="329"/>
      <c r="E30" s="328"/>
      <c r="F30" s="326"/>
      <c r="G30" s="326"/>
      <c r="H30" s="321"/>
      <c r="I30" s="359"/>
      <c r="J30" s="359"/>
      <c r="K30" s="359"/>
      <c r="L30" s="363"/>
      <c r="M30" s="363"/>
      <c r="N30" s="363"/>
      <c r="O30" s="363"/>
      <c r="P30" s="363"/>
    </row>
    <row r="31" s="284" customFormat="1" spans="1:16">
      <c r="A31" s="321"/>
      <c r="B31" s="325"/>
      <c r="C31" s="319"/>
      <c r="D31" s="329"/>
      <c r="E31" s="328"/>
      <c r="F31" s="326"/>
      <c r="G31" s="326"/>
      <c r="H31" s="321"/>
      <c r="I31" s="359"/>
      <c r="J31" s="359"/>
      <c r="K31" s="359"/>
      <c r="L31" s="363"/>
      <c r="M31" s="363"/>
      <c r="N31" s="363"/>
      <c r="O31" s="363"/>
      <c r="P31" s="363"/>
    </row>
    <row r="32" s="284" customFormat="1" spans="1:16">
      <c r="A32" s="321"/>
      <c r="B32" s="325"/>
      <c r="C32" s="319"/>
      <c r="D32" s="330"/>
      <c r="E32" s="331"/>
      <c r="F32" s="332"/>
      <c r="G32" s="321"/>
      <c r="H32" s="321"/>
      <c r="I32" s="359"/>
      <c r="J32" s="359"/>
      <c r="K32" s="359"/>
      <c r="L32" s="365"/>
      <c r="M32" s="365"/>
      <c r="N32" s="361"/>
      <c r="O32" s="361"/>
      <c r="P32" s="361"/>
    </row>
    <row r="33" s="284" customFormat="1" spans="1:16">
      <c r="A33" s="321"/>
      <c r="B33" s="325"/>
      <c r="C33" s="319"/>
      <c r="D33" s="329"/>
      <c r="E33" s="320"/>
      <c r="F33" s="326"/>
      <c r="G33" s="321"/>
      <c r="H33" s="321"/>
      <c r="I33" s="359"/>
      <c r="J33" s="359"/>
      <c r="K33" s="359"/>
      <c r="L33" s="363"/>
      <c r="M33" s="363"/>
      <c r="N33" s="361"/>
      <c r="O33" s="361"/>
      <c r="P33" s="361"/>
    </row>
    <row r="34" s="284" customFormat="1" spans="1:16">
      <c r="A34" s="321"/>
      <c r="B34" s="325"/>
      <c r="C34" s="319"/>
      <c r="D34" s="329"/>
      <c r="E34" s="320"/>
      <c r="F34" s="326"/>
      <c r="G34" s="321"/>
      <c r="H34" s="321"/>
      <c r="I34" s="359"/>
      <c r="J34" s="359"/>
      <c r="K34" s="359"/>
      <c r="L34" s="363"/>
      <c r="M34" s="364"/>
      <c r="N34" s="361"/>
      <c r="O34" s="361"/>
      <c r="P34" s="361"/>
    </row>
    <row r="35" s="284" customFormat="1" spans="1:16">
      <c r="A35" s="321"/>
      <c r="B35" s="325"/>
      <c r="C35" s="319"/>
      <c r="D35" s="329"/>
      <c r="E35" s="333"/>
      <c r="F35" s="326"/>
      <c r="G35" s="321"/>
      <c r="H35" s="321"/>
      <c r="I35" s="359"/>
      <c r="J35" s="359"/>
      <c r="K35" s="359"/>
      <c r="L35" s="363"/>
      <c r="M35" s="363"/>
      <c r="N35" s="361"/>
      <c r="O35" s="361"/>
      <c r="P35" s="361"/>
    </row>
    <row r="36" s="284" customFormat="1" spans="1:16">
      <c r="A36" s="321"/>
      <c r="B36" s="325"/>
      <c r="C36" s="319"/>
      <c r="D36" s="329"/>
      <c r="E36" s="320"/>
      <c r="F36" s="326"/>
      <c r="G36" s="321"/>
      <c r="H36" s="321"/>
      <c r="I36" s="359"/>
      <c r="J36" s="359"/>
      <c r="K36" s="359"/>
      <c r="L36" s="363"/>
      <c r="M36" s="363"/>
      <c r="N36" s="361"/>
      <c r="O36" s="361"/>
      <c r="P36" s="361"/>
    </row>
    <row r="37" s="284" customFormat="1" spans="1:16">
      <c r="A37" s="321"/>
      <c r="B37" s="325"/>
      <c r="C37" s="319"/>
      <c r="D37" s="329"/>
      <c r="E37" s="334"/>
      <c r="F37" s="321"/>
      <c r="G37" s="321"/>
      <c r="H37" s="321"/>
      <c r="I37" s="359"/>
      <c r="J37" s="359"/>
      <c r="K37" s="359"/>
      <c r="L37" s="366"/>
      <c r="M37" s="366"/>
      <c r="N37" s="361"/>
      <c r="O37" s="361"/>
      <c r="P37" s="361"/>
    </row>
    <row r="38" s="284" customFormat="1" spans="1:16">
      <c r="A38" s="321"/>
      <c r="B38" s="325"/>
      <c r="C38" s="319"/>
      <c r="D38" s="329"/>
      <c r="E38" s="335"/>
      <c r="F38" s="321"/>
      <c r="G38" s="321"/>
      <c r="H38" s="321"/>
      <c r="I38" s="359"/>
      <c r="J38" s="359"/>
      <c r="K38" s="359"/>
      <c r="L38" s="366"/>
      <c r="M38" s="366"/>
      <c r="N38" s="361"/>
      <c r="O38" s="361"/>
      <c r="P38" s="361"/>
    </row>
    <row r="39" s="284" customFormat="1" spans="1:16">
      <c r="A39" s="321"/>
      <c r="B39" s="325"/>
      <c r="C39" s="319"/>
      <c r="D39" s="336"/>
      <c r="E39" s="335"/>
      <c r="F39" s="321"/>
      <c r="G39" s="321"/>
      <c r="H39" s="321"/>
      <c r="I39" s="359"/>
      <c r="J39" s="359"/>
      <c r="K39" s="359"/>
      <c r="L39" s="366"/>
      <c r="M39" s="367"/>
      <c r="N39" s="361"/>
      <c r="O39" s="361"/>
      <c r="P39" s="361"/>
    </row>
    <row r="40" s="284" customFormat="1" spans="1:16">
      <c r="A40" s="321"/>
      <c r="B40" s="325"/>
      <c r="C40" s="319"/>
      <c r="D40" s="326"/>
      <c r="E40" s="320"/>
      <c r="F40" s="326"/>
      <c r="G40" s="326"/>
      <c r="H40" s="326"/>
      <c r="I40" s="359"/>
      <c r="J40" s="359"/>
      <c r="K40" s="359"/>
      <c r="L40" s="363"/>
      <c r="M40" s="363"/>
      <c r="N40" s="363"/>
      <c r="O40" s="363"/>
      <c r="P40" s="363"/>
    </row>
    <row r="41" s="284" customFormat="1" spans="1:16">
      <c r="A41" s="321"/>
      <c r="B41" s="325"/>
      <c r="C41" s="319"/>
      <c r="D41" s="326"/>
      <c r="E41" s="320"/>
      <c r="F41" s="326"/>
      <c r="G41" s="326"/>
      <c r="H41" s="326"/>
      <c r="I41" s="359"/>
      <c r="J41" s="359"/>
      <c r="K41" s="359"/>
      <c r="L41" s="363"/>
      <c r="M41" s="367"/>
      <c r="N41" s="363"/>
      <c r="O41" s="363"/>
      <c r="P41" s="363"/>
    </row>
    <row r="42" s="284" customFormat="1" spans="1:16">
      <c r="A42" s="321"/>
      <c r="B42" s="325"/>
      <c r="C42" s="319"/>
      <c r="D42" s="326"/>
      <c r="E42" s="320"/>
      <c r="F42" s="326"/>
      <c r="G42" s="326"/>
      <c r="H42" s="326"/>
      <c r="I42" s="359"/>
      <c r="J42" s="359"/>
      <c r="K42" s="359"/>
      <c r="L42" s="363"/>
      <c r="M42" s="367"/>
      <c r="N42" s="363"/>
      <c r="O42" s="363"/>
      <c r="P42" s="363"/>
    </row>
    <row r="43" s="284" customFormat="1" spans="1:16">
      <c r="A43" s="321"/>
      <c r="B43" s="325"/>
      <c r="C43" s="319"/>
      <c r="D43" s="326"/>
      <c r="E43" s="337"/>
      <c r="F43" s="326"/>
      <c r="G43" s="326"/>
      <c r="H43" s="326"/>
      <c r="I43" s="359"/>
      <c r="J43" s="359"/>
      <c r="K43" s="359"/>
      <c r="L43" s="363"/>
      <c r="M43" s="363"/>
      <c r="N43" s="363"/>
      <c r="O43" s="363"/>
      <c r="P43" s="363"/>
    </row>
    <row r="44" s="284" customFormat="1" spans="1:16">
      <c r="A44" s="321"/>
      <c r="B44" s="325"/>
      <c r="C44" s="319"/>
      <c r="D44" s="326"/>
      <c r="E44" s="337"/>
      <c r="F44" s="326"/>
      <c r="G44" s="326"/>
      <c r="H44" s="326"/>
      <c r="I44" s="359"/>
      <c r="J44" s="359"/>
      <c r="K44" s="359"/>
      <c r="L44" s="363"/>
      <c r="M44" s="363"/>
      <c r="N44" s="363"/>
      <c r="O44" s="363"/>
      <c r="P44" s="363"/>
    </row>
    <row r="45" s="284" customFormat="1" spans="1:16">
      <c r="A45" s="321"/>
      <c r="B45" s="325"/>
      <c r="C45" s="319"/>
      <c r="D45" s="338"/>
      <c r="E45" s="337"/>
      <c r="F45" s="326"/>
      <c r="G45" s="326"/>
      <c r="H45" s="326"/>
      <c r="I45" s="359"/>
      <c r="J45" s="359"/>
      <c r="K45" s="359"/>
      <c r="L45" s="363"/>
      <c r="M45" s="363"/>
      <c r="N45" s="363"/>
      <c r="O45" s="363"/>
      <c r="P45" s="363"/>
    </row>
    <row r="46" s="284" customFormat="1" spans="1:16">
      <c r="A46" s="321"/>
      <c r="B46" s="325"/>
      <c r="C46" s="319"/>
      <c r="D46" s="326"/>
      <c r="E46" s="327"/>
      <c r="F46" s="326"/>
      <c r="G46" s="326"/>
      <c r="H46" s="326"/>
      <c r="I46" s="359"/>
      <c r="J46" s="359"/>
      <c r="K46" s="359"/>
      <c r="L46" s="363"/>
      <c r="M46" s="363"/>
      <c r="N46" s="363"/>
      <c r="O46" s="363"/>
      <c r="P46" s="363"/>
    </row>
    <row r="47" s="284" customFormat="1" spans="1:16">
      <c r="A47" s="321"/>
      <c r="B47" s="325"/>
      <c r="C47" s="319"/>
      <c r="D47" s="326"/>
      <c r="E47" s="320"/>
      <c r="F47" s="326"/>
      <c r="G47" s="326"/>
      <c r="H47" s="326"/>
      <c r="I47" s="359"/>
      <c r="J47" s="359"/>
      <c r="K47" s="359"/>
      <c r="L47" s="363"/>
      <c r="M47" s="367"/>
      <c r="N47" s="363"/>
      <c r="O47" s="363"/>
      <c r="P47" s="363"/>
    </row>
    <row r="48" s="284" customFormat="1" spans="1:16">
      <c r="A48" s="321"/>
      <c r="B48" s="325"/>
      <c r="C48" s="319"/>
      <c r="D48" s="326"/>
      <c r="E48" s="327"/>
      <c r="F48" s="326"/>
      <c r="G48" s="326"/>
      <c r="H48" s="326"/>
      <c r="I48" s="359"/>
      <c r="J48" s="359"/>
      <c r="K48" s="359"/>
      <c r="L48" s="363"/>
      <c r="M48" s="364"/>
      <c r="N48" s="363"/>
      <c r="O48" s="363"/>
      <c r="P48" s="363"/>
    </row>
    <row r="49" s="284" customFormat="1" spans="1:16">
      <c r="A49" s="321"/>
      <c r="B49" s="325"/>
      <c r="C49" s="319"/>
      <c r="D49" s="339"/>
      <c r="E49" s="340"/>
      <c r="F49" s="341"/>
      <c r="G49" s="326"/>
      <c r="H49" s="326"/>
      <c r="I49" s="359"/>
      <c r="J49" s="359"/>
      <c r="K49" s="359"/>
      <c r="L49" s="363"/>
      <c r="M49" s="363"/>
      <c r="N49" s="363"/>
      <c r="O49" s="363"/>
      <c r="P49" s="363"/>
    </row>
    <row r="50" s="284" customFormat="1" spans="1:16">
      <c r="A50" s="321"/>
      <c r="B50" s="325"/>
      <c r="C50" s="319"/>
      <c r="D50" s="326"/>
      <c r="E50" s="327"/>
      <c r="F50" s="326"/>
      <c r="G50" s="326"/>
      <c r="H50" s="326"/>
      <c r="I50" s="359"/>
      <c r="J50" s="359"/>
      <c r="K50" s="359"/>
      <c r="L50" s="363"/>
      <c r="M50" s="363"/>
      <c r="N50" s="363"/>
      <c r="O50" s="363"/>
      <c r="P50" s="363"/>
    </row>
    <row r="51" s="284" customFormat="1" spans="1:16">
      <c r="A51" s="321"/>
      <c r="B51" s="325"/>
      <c r="C51" s="319"/>
      <c r="D51" s="326"/>
      <c r="E51" s="320"/>
      <c r="F51" s="326"/>
      <c r="G51" s="326"/>
      <c r="H51" s="326"/>
      <c r="I51" s="359"/>
      <c r="J51" s="359"/>
      <c r="K51" s="359"/>
      <c r="L51" s="363"/>
      <c r="M51" s="363"/>
      <c r="N51" s="363"/>
      <c r="O51" s="363"/>
      <c r="P51" s="363"/>
    </row>
    <row r="52" s="284" customFormat="1" spans="1:16">
      <c r="A52" s="321"/>
      <c r="B52" s="325"/>
      <c r="C52" s="319"/>
      <c r="D52" s="326"/>
      <c r="E52" s="342"/>
      <c r="F52" s="326"/>
      <c r="G52" s="326"/>
      <c r="H52" s="326"/>
      <c r="I52" s="359"/>
      <c r="J52" s="359"/>
      <c r="K52" s="359"/>
      <c r="L52" s="363"/>
      <c r="M52" s="363"/>
      <c r="N52" s="363"/>
      <c r="O52" s="363"/>
      <c r="P52" s="363"/>
    </row>
    <row r="53" s="284" customFormat="1" spans="1:16">
      <c r="A53" s="321"/>
      <c r="B53" s="325"/>
      <c r="C53" s="319"/>
      <c r="D53" s="326"/>
      <c r="E53" s="343"/>
      <c r="F53" s="326"/>
      <c r="G53" s="326"/>
      <c r="H53" s="326"/>
      <c r="I53" s="359"/>
      <c r="J53" s="359"/>
      <c r="K53" s="359"/>
      <c r="L53" s="363"/>
      <c r="M53" s="363"/>
      <c r="N53" s="363"/>
      <c r="O53" s="363"/>
      <c r="P53" s="363"/>
    </row>
    <row r="54" s="284" customFormat="1" spans="1:16">
      <c r="A54" s="321"/>
      <c r="B54" s="325"/>
      <c r="C54" s="319"/>
      <c r="D54" s="326"/>
      <c r="E54" s="343"/>
      <c r="F54" s="326"/>
      <c r="G54" s="326"/>
      <c r="H54" s="326"/>
      <c r="I54" s="359"/>
      <c r="J54" s="359"/>
      <c r="K54" s="359"/>
      <c r="L54" s="364"/>
      <c r="M54" s="363"/>
      <c r="N54" s="363"/>
      <c r="O54" s="363"/>
      <c r="P54" s="363"/>
    </row>
    <row r="55" s="284" customFormat="1" spans="1:16">
      <c r="A55" s="321"/>
      <c r="B55" s="325"/>
      <c r="C55" s="319"/>
      <c r="D55" s="326"/>
      <c r="E55" s="343"/>
      <c r="F55" s="326"/>
      <c r="G55" s="326"/>
      <c r="H55" s="326"/>
      <c r="I55" s="326"/>
      <c r="J55" s="326"/>
      <c r="K55" s="359"/>
      <c r="L55" s="363"/>
      <c r="M55" s="363"/>
      <c r="N55" s="363"/>
      <c r="O55" s="363"/>
      <c r="P55" s="363"/>
    </row>
    <row r="56" s="284" customFormat="1" spans="1:16">
      <c r="A56" s="321"/>
      <c r="B56" s="344"/>
      <c r="C56" s="319"/>
      <c r="D56" s="326"/>
      <c r="E56" s="327"/>
      <c r="F56" s="326"/>
      <c r="G56" s="326"/>
      <c r="H56" s="326"/>
      <c r="I56" s="326"/>
      <c r="J56" s="326"/>
      <c r="K56" s="359"/>
      <c r="L56" s="363"/>
      <c r="M56" s="363"/>
      <c r="N56" s="363"/>
      <c r="O56" s="363"/>
      <c r="P56" s="363"/>
    </row>
    <row r="57" spans="1:16">
      <c r="A57" s="345"/>
      <c r="B57" s="344"/>
      <c r="C57" s="346"/>
      <c r="D57" s="347"/>
      <c r="E57" s="346"/>
      <c r="F57" s="347"/>
      <c r="G57" s="347"/>
      <c r="H57" s="347"/>
      <c r="I57" s="347"/>
      <c r="J57" s="347"/>
      <c r="K57" s="347"/>
      <c r="L57" s="368"/>
      <c r="M57" s="368"/>
      <c r="N57" s="368"/>
      <c r="O57" s="368"/>
      <c r="P57" s="368"/>
    </row>
    <row r="58" spans="1:16">
      <c r="A58" s="345"/>
      <c r="B58" s="344"/>
      <c r="C58" s="346"/>
      <c r="D58" s="347"/>
      <c r="E58" s="346"/>
      <c r="F58" s="347"/>
      <c r="G58" s="347"/>
      <c r="H58" s="347"/>
      <c r="I58" s="347"/>
      <c r="J58" s="347"/>
      <c r="K58" s="347"/>
      <c r="L58" s="368"/>
      <c r="M58" s="368"/>
      <c r="N58" s="368"/>
      <c r="O58" s="368"/>
      <c r="P58" s="368"/>
    </row>
    <row r="59" spans="1:16">
      <c r="A59" s="345"/>
      <c r="B59" s="344"/>
      <c r="C59" s="346"/>
      <c r="D59" s="347"/>
      <c r="E59" s="346"/>
      <c r="F59" s="347"/>
      <c r="G59" s="347"/>
      <c r="H59" s="347"/>
      <c r="I59" s="347"/>
      <c r="J59" s="347"/>
      <c r="K59" s="347"/>
      <c r="L59" s="368"/>
      <c r="M59" s="368"/>
      <c r="N59" s="368"/>
      <c r="O59" s="368"/>
      <c r="P59" s="368"/>
    </row>
    <row r="60" spans="1:16">
      <c r="A60" s="345"/>
      <c r="B60" s="344"/>
      <c r="C60" s="346"/>
      <c r="D60" s="347"/>
      <c r="E60" s="346"/>
      <c r="F60" s="347"/>
      <c r="G60" s="347"/>
      <c r="H60" s="347"/>
      <c r="I60" s="347"/>
      <c r="J60" s="347"/>
      <c r="K60" s="347"/>
      <c r="L60" s="368"/>
      <c r="M60" s="368"/>
      <c r="N60" s="368"/>
      <c r="O60" s="368"/>
      <c r="P60" s="368"/>
    </row>
    <row r="61" spans="1:16">
      <c r="A61" s="345"/>
      <c r="B61" s="344"/>
      <c r="C61" s="346"/>
      <c r="D61" s="347"/>
      <c r="E61" s="346"/>
      <c r="F61" s="347"/>
      <c r="G61" s="347"/>
      <c r="H61" s="347"/>
      <c r="I61" s="347"/>
      <c r="J61" s="347"/>
      <c r="K61" s="347"/>
      <c r="L61" s="368"/>
      <c r="M61" s="368"/>
      <c r="N61" s="368"/>
      <c r="O61" s="368"/>
      <c r="P61" s="368"/>
    </row>
    <row r="62" spans="1:16">
      <c r="A62" s="345"/>
      <c r="B62" s="344"/>
      <c r="C62" s="346"/>
      <c r="D62" s="347"/>
      <c r="E62" s="346"/>
      <c r="F62" s="347"/>
      <c r="G62" s="347"/>
      <c r="H62" s="347"/>
      <c r="I62" s="347"/>
      <c r="J62" s="347"/>
      <c r="K62" s="347"/>
      <c r="L62" s="368"/>
      <c r="M62" s="368"/>
      <c r="N62" s="368"/>
      <c r="O62" s="368"/>
      <c r="P62" s="368"/>
    </row>
    <row r="63" spans="1:16">
      <c r="A63" s="345"/>
      <c r="B63" s="344"/>
      <c r="C63" s="346"/>
      <c r="D63" s="347"/>
      <c r="E63" s="346"/>
      <c r="F63" s="347"/>
      <c r="G63" s="347"/>
      <c r="H63" s="347"/>
      <c r="I63" s="347"/>
      <c r="J63" s="347"/>
      <c r="K63" s="347"/>
      <c r="L63" s="368"/>
      <c r="M63" s="368"/>
      <c r="N63" s="368"/>
      <c r="O63" s="368"/>
      <c r="P63" s="368"/>
    </row>
    <row r="64" spans="1:16">
      <c r="A64" s="345"/>
      <c r="B64" s="344"/>
      <c r="C64" s="346"/>
      <c r="D64" s="347"/>
      <c r="E64" s="346"/>
      <c r="F64" s="347"/>
      <c r="G64" s="347"/>
      <c r="H64" s="347"/>
      <c r="I64" s="347"/>
      <c r="J64" s="347"/>
      <c r="K64" s="347"/>
      <c r="L64" s="368"/>
      <c r="M64" s="368"/>
      <c r="N64" s="368"/>
      <c r="O64" s="368"/>
      <c r="P64" s="368"/>
    </row>
    <row r="65" spans="1:16">
      <c r="A65" s="345"/>
      <c r="B65" s="344"/>
      <c r="C65" s="346"/>
      <c r="D65" s="347"/>
      <c r="E65" s="346"/>
      <c r="F65" s="347"/>
      <c r="G65" s="347"/>
      <c r="H65" s="347"/>
      <c r="I65" s="347"/>
      <c r="J65" s="347"/>
      <c r="K65" s="347"/>
      <c r="L65" s="368"/>
      <c r="M65" s="368"/>
      <c r="N65" s="368"/>
      <c r="O65" s="368"/>
      <c r="P65" s="368"/>
    </row>
    <row r="66" spans="1:16">
      <c r="A66" s="345"/>
      <c r="B66" s="344"/>
      <c r="C66" s="346"/>
      <c r="D66" s="347"/>
      <c r="E66" s="346"/>
      <c r="F66" s="347"/>
      <c r="G66" s="347"/>
      <c r="H66" s="347"/>
      <c r="I66" s="347"/>
      <c r="J66" s="347"/>
      <c r="K66" s="347"/>
      <c r="L66" s="368"/>
      <c r="M66" s="368"/>
      <c r="N66" s="368"/>
      <c r="O66" s="368"/>
      <c r="P66" s="368"/>
    </row>
    <row r="67" spans="1:16">
      <c r="A67" s="345"/>
      <c r="B67" s="344"/>
      <c r="C67" s="346"/>
      <c r="D67" s="347"/>
      <c r="E67" s="346"/>
      <c r="F67" s="347"/>
      <c r="G67" s="347"/>
      <c r="H67" s="347"/>
      <c r="I67" s="347"/>
      <c r="J67" s="347"/>
      <c r="K67" s="347"/>
      <c r="L67" s="368"/>
      <c r="M67" s="368"/>
      <c r="N67" s="368"/>
      <c r="O67" s="368"/>
      <c r="P67" s="368"/>
    </row>
    <row r="68" spans="1:16">
      <c r="A68" s="345"/>
      <c r="B68" s="344"/>
      <c r="C68" s="346"/>
      <c r="D68" s="347"/>
      <c r="E68" s="346"/>
      <c r="F68" s="347"/>
      <c r="G68" s="347"/>
      <c r="H68" s="347"/>
      <c r="I68" s="347"/>
      <c r="J68" s="347"/>
      <c r="K68" s="347"/>
      <c r="L68" s="368"/>
      <c r="M68" s="368"/>
      <c r="N68" s="368"/>
      <c r="O68" s="368"/>
      <c r="P68" s="368"/>
    </row>
    <row r="69" spans="1:16">
      <c r="A69" s="345"/>
      <c r="B69" s="344"/>
      <c r="C69" s="346"/>
      <c r="D69" s="347"/>
      <c r="E69" s="346"/>
      <c r="F69" s="347"/>
      <c r="G69" s="347"/>
      <c r="H69" s="347"/>
      <c r="I69" s="347"/>
      <c r="J69" s="347"/>
      <c r="K69" s="347"/>
      <c r="L69" s="368"/>
      <c r="M69" s="368"/>
      <c r="N69" s="368"/>
      <c r="O69" s="368"/>
      <c r="P69" s="368"/>
    </row>
    <row r="70" spans="1:16">
      <c r="A70" s="345"/>
      <c r="B70" s="344"/>
      <c r="C70" s="346"/>
      <c r="D70" s="347"/>
      <c r="E70" s="346"/>
      <c r="F70" s="347"/>
      <c r="G70" s="347"/>
      <c r="H70" s="347"/>
      <c r="I70" s="347"/>
      <c r="J70" s="347"/>
      <c r="K70" s="347"/>
      <c r="L70" s="368"/>
      <c r="M70" s="368"/>
      <c r="N70" s="368"/>
      <c r="O70" s="368"/>
      <c r="P70" s="368"/>
    </row>
    <row r="71" spans="1:16">
      <c r="A71" s="345"/>
      <c r="B71" s="344"/>
      <c r="C71" s="346"/>
      <c r="D71" s="347"/>
      <c r="E71" s="346"/>
      <c r="F71" s="347"/>
      <c r="G71" s="347"/>
      <c r="H71" s="347"/>
      <c r="I71" s="347"/>
      <c r="J71" s="347"/>
      <c r="K71" s="347"/>
      <c r="L71" s="368"/>
      <c r="M71" s="368"/>
      <c r="N71" s="368"/>
      <c r="O71" s="368"/>
      <c r="P71" s="368"/>
    </row>
    <row r="72" spans="1:16">
      <c r="A72" s="345"/>
      <c r="B72" s="344"/>
      <c r="C72" s="346"/>
      <c r="D72" s="347"/>
      <c r="E72" s="346"/>
      <c r="F72" s="347"/>
      <c r="G72" s="347"/>
      <c r="H72" s="347"/>
      <c r="I72" s="347"/>
      <c r="J72" s="347"/>
      <c r="K72" s="347"/>
      <c r="L72" s="368"/>
      <c r="M72" s="368"/>
      <c r="N72" s="368"/>
      <c r="O72" s="368"/>
      <c r="P72" s="368"/>
    </row>
    <row r="73" spans="1:16">
      <c r="A73" s="345"/>
      <c r="B73" s="344"/>
      <c r="C73" s="346"/>
      <c r="D73" s="347"/>
      <c r="E73" s="346"/>
      <c r="F73" s="347"/>
      <c r="G73" s="347"/>
      <c r="H73" s="347"/>
      <c r="I73" s="347"/>
      <c r="J73" s="347"/>
      <c r="K73" s="347"/>
      <c r="L73" s="368"/>
      <c r="M73" s="368"/>
      <c r="N73" s="368"/>
      <c r="O73" s="368"/>
      <c r="P73" s="368"/>
    </row>
    <row r="74" spans="1:16">
      <c r="A74" s="345"/>
      <c r="B74" s="344"/>
      <c r="C74" s="346"/>
      <c r="D74" s="347"/>
      <c r="E74" s="346"/>
      <c r="F74" s="347"/>
      <c r="G74" s="347"/>
      <c r="H74" s="347"/>
      <c r="I74" s="347"/>
      <c r="J74" s="347"/>
      <c r="K74" s="347"/>
      <c r="L74" s="368"/>
      <c r="M74" s="368"/>
      <c r="N74" s="368"/>
      <c r="O74" s="368"/>
      <c r="P74" s="368"/>
    </row>
    <row r="75" spans="1:16">
      <c r="A75" s="345"/>
      <c r="B75" s="344"/>
      <c r="C75" s="346"/>
      <c r="D75" s="347"/>
      <c r="E75" s="346"/>
      <c r="F75" s="347"/>
      <c r="G75" s="347"/>
      <c r="H75" s="347"/>
      <c r="I75" s="347"/>
      <c r="J75" s="347"/>
      <c r="K75" s="347"/>
      <c r="L75" s="368"/>
      <c r="M75" s="368"/>
      <c r="N75" s="368"/>
      <c r="O75" s="368"/>
      <c r="P75" s="368"/>
    </row>
    <row r="76" spans="1:16">
      <c r="A76" s="345"/>
      <c r="B76" s="344"/>
      <c r="C76" s="346"/>
      <c r="D76" s="347"/>
      <c r="E76" s="346"/>
      <c r="F76" s="347"/>
      <c r="G76" s="347"/>
      <c r="H76" s="347"/>
      <c r="I76" s="347"/>
      <c r="J76" s="347"/>
      <c r="K76" s="347"/>
      <c r="L76" s="368"/>
      <c r="M76" s="368"/>
      <c r="N76" s="368"/>
      <c r="O76" s="368"/>
      <c r="P76" s="368"/>
    </row>
    <row r="77" spans="1:16">
      <c r="A77" s="345"/>
      <c r="B77" s="344"/>
      <c r="C77" s="346"/>
      <c r="D77" s="347"/>
      <c r="E77" s="346"/>
      <c r="F77" s="347"/>
      <c r="G77" s="347"/>
      <c r="H77" s="347"/>
      <c r="I77" s="347"/>
      <c r="J77" s="347"/>
      <c r="K77" s="347"/>
      <c r="L77" s="368"/>
      <c r="M77" s="368"/>
      <c r="N77" s="368"/>
      <c r="O77" s="368"/>
      <c r="P77" s="368"/>
    </row>
    <row r="78" spans="1:16">
      <c r="A78" s="345"/>
      <c r="B78" s="344"/>
      <c r="C78" s="346"/>
      <c r="D78" s="347"/>
      <c r="E78" s="346"/>
      <c r="F78" s="347"/>
      <c r="G78" s="347"/>
      <c r="H78" s="347"/>
      <c r="I78" s="347"/>
      <c r="J78" s="347"/>
      <c r="K78" s="347"/>
      <c r="L78" s="368"/>
      <c r="M78" s="368"/>
      <c r="N78" s="368"/>
      <c r="O78" s="368"/>
      <c r="P78" s="368"/>
    </row>
    <row r="79" spans="1:16">
      <c r="A79" s="345"/>
      <c r="B79" s="344"/>
      <c r="C79" s="346"/>
      <c r="D79" s="347"/>
      <c r="E79" s="346"/>
      <c r="F79" s="347"/>
      <c r="G79" s="347"/>
      <c r="H79" s="347"/>
      <c r="I79" s="347"/>
      <c r="J79" s="347"/>
      <c r="K79" s="347"/>
      <c r="L79" s="368"/>
      <c r="M79" s="368"/>
      <c r="N79" s="368"/>
      <c r="O79" s="368"/>
      <c r="P79" s="368"/>
    </row>
    <row r="80" spans="1:16">
      <c r="A80" s="345"/>
      <c r="B80" s="344"/>
      <c r="C80" s="346"/>
      <c r="D80" s="347"/>
      <c r="E80" s="346"/>
      <c r="F80" s="347"/>
      <c r="G80" s="347"/>
      <c r="H80" s="347"/>
      <c r="I80" s="347"/>
      <c r="J80" s="347"/>
      <c r="K80" s="347"/>
      <c r="L80" s="368"/>
      <c r="M80" s="368"/>
      <c r="N80" s="368"/>
      <c r="O80" s="368"/>
      <c r="P80" s="368"/>
    </row>
    <row r="81" spans="1:16">
      <c r="A81" s="345"/>
      <c r="B81" s="344"/>
      <c r="C81" s="346"/>
      <c r="D81" s="347"/>
      <c r="E81" s="346"/>
      <c r="F81" s="347"/>
      <c r="G81" s="347"/>
      <c r="H81" s="347"/>
      <c r="I81" s="347"/>
      <c r="J81" s="347"/>
      <c r="K81" s="347"/>
      <c r="L81" s="368"/>
      <c r="M81" s="368"/>
      <c r="N81" s="368"/>
      <c r="O81" s="368"/>
      <c r="P81" s="368"/>
    </row>
    <row r="82" spans="1:16">
      <c r="A82" s="345"/>
      <c r="B82" s="344"/>
      <c r="C82" s="346"/>
      <c r="D82" s="347"/>
      <c r="E82" s="346"/>
      <c r="F82" s="347"/>
      <c r="G82" s="347"/>
      <c r="H82" s="347"/>
      <c r="I82" s="347"/>
      <c r="J82" s="347"/>
      <c r="K82" s="347"/>
      <c r="L82" s="368"/>
      <c r="M82" s="368"/>
      <c r="N82" s="368"/>
      <c r="O82" s="368"/>
      <c r="P82" s="368"/>
    </row>
    <row r="83" spans="1:16">
      <c r="A83" s="345"/>
      <c r="B83" s="344"/>
      <c r="C83" s="346"/>
      <c r="D83" s="347"/>
      <c r="E83" s="346"/>
      <c r="F83" s="347"/>
      <c r="G83" s="347"/>
      <c r="H83" s="347"/>
      <c r="I83" s="347"/>
      <c r="J83" s="347"/>
      <c r="K83" s="347"/>
      <c r="L83" s="368"/>
      <c r="M83" s="368"/>
      <c r="N83" s="368"/>
      <c r="O83" s="368"/>
      <c r="P83" s="368"/>
    </row>
    <row r="84" spans="1:16">
      <c r="A84" s="345"/>
      <c r="B84" s="344"/>
      <c r="C84" s="346"/>
      <c r="D84" s="347"/>
      <c r="E84" s="346"/>
      <c r="F84" s="347"/>
      <c r="G84" s="347"/>
      <c r="H84" s="347"/>
      <c r="I84" s="347"/>
      <c r="J84" s="347"/>
      <c r="K84" s="347"/>
      <c r="L84" s="368"/>
      <c r="M84" s="368"/>
      <c r="N84" s="368"/>
      <c r="O84" s="368"/>
      <c r="P84" s="368"/>
    </row>
    <row r="85" spans="1:16">
      <c r="A85" s="345"/>
      <c r="B85" s="344"/>
      <c r="C85" s="346"/>
      <c r="D85" s="347"/>
      <c r="E85" s="346"/>
      <c r="F85" s="347"/>
      <c r="G85" s="347"/>
      <c r="H85" s="347"/>
      <c r="I85" s="347"/>
      <c r="J85" s="347"/>
      <c r="K85" s="347"/>
      <c r="L85" s="368"/>
      <c r="M85" s="368"/>
      <c r="N85" s="368"/>
      <c r="O85" s="368"/>
      <c r="P85" s="368"/>
    </row>
    <row r="86" spans="1:16">
      <c r="A86" s="345"/>
      <c r="B86" s="344"/>
      <c r="C86" s="346"/>
      <c r="D86" s="347"/>
      <c r="E86" s="346"/>
      <c r="F86" s="347"/>
      <c r="G86" s="347"/>
      <c r="H86" s="347"/>
      <c r="I86" s="347"/>
      <c r="J86" s="347"/>
      <c r="K86" s="347"/>
      <c r="L86" s="368"/>
      <c r="M86" s="368"/>
      <c r="N86" s="368"/>
      <c r="O86" s="368"/>
      <c r="P86" s="368"/>
    </row>
    <row r="87" spans="1:16">
      <c r="A87" s="345"/>
      <c r="B87" s="344"/>
      <c r="C87" s="346"/>
      <c r="D87" s="347"/>
      <c r="E87" s="346"/>
      <c r="F87" s="347"/>
      <c r="G87" s="347"/>
      <c r="H87" s="347"/>
      <c r="I87" s="347"/>
      <c r="J87" s="347"/>
      <c r="K87" s="347"/>
      <c r="L87" s="368"/>
      <c r="M87" s="368"/>
      <c r="N87" s="368"/>
      <c r="O87" s="368"/>
      <c r="P87" s="368"/>
    </row>
    <row r="88" spans="1:16">
      <c r="A88" s="345"/>
      <c r="B88" s="344"/>
      <c r="C88" s="346"/>
      <c r="D88" s="347"/>
      <c r="E88" s="346"/>
      <c r="F88" s="347"/>
      <c r="G88" s="347"/>
      <c r="H88" s="347"/>
      <c r="I88" s="347"/>
      <c r="J88" s="347"/>
      <c r="K88" s="347"/>
      <c r="L88" s="368"/>
      <c r="M88" s="368"/>
      <c r="N88" s="368"/>
      <c r="O88" s="368"/>
      <c r="P88" s="368"/>
    </row>
    <row r="89" spans="1:16">
      <c r="A89" s="345"/>
      <c r="B89" s="344"/>
      <c r="C89" s="346"/>
      <c r="D89" s="347"/>
      <c r="E89" s="346"/>
      <c r="F89" s="347"/>
      <c r="G89" s="347"/>
      <c r="H89" s="347"/>
      <c r="I89" s="347"/>
      <c r="J89" s="347"/>
      <c r="K89" s="347"/>
      <c r="L89" s="368"/>
      <c r="M89" s="368"/>
      <c r="N89" s="368"/>
      <c r="O89" s="368"/>
      <c r="P89" s="368"/>
    </row>
    <row r="90" spans="1:16">
      <c r="A90" s="345"/>
      <c r="B90" s="344"/>
      <c r="C90" s="346"/>
      <c r="D90" s="347"/>
      <c r="E90" s="346"/>
      <c r="F90" s="347"/>
      <c r="G90" s="347"/>
      <c r="H90" s="347"/>
      <c r="I90" s="347"/>
      <c r="J90" s="347"/>
      <c r="K90" s="347"/>
      <c r="L90" s="368"/>
      <c r="M90" s="368"/>
      <c r="N90" s="368"/>
      <c r="O90" s="368"/>
      <c r="P90" s="368"/>
    </row>
    <row r="91" spans="1:16">
      <c r="A91" s="345"/>
      <c r="B91" s="344"/>
      <c r="C91" s="346"/>
      <c r="D91" s="347"/>
      <c r="E91" s="346"/>
      <c r="F91" s="347"/>
      <c r="G91" s="347"/>
      <c r="H91" s="347"/>
      <c r="I91" s="347"/>
      <c r="J91" s="347"/>
      <c r="K91" s="347"/>
      <c r="L91" s="368"/>
      <c r="M91" s="368"/>
      <c r="N91" s="368"/>
      <c r="O91" s="368"/>
      <c r="P91" s="368"/>
    </row>
    <row r="92" spans="1:16">
      <c r="A92" s="345"/>
      <c r="B92" s="344"/>
      <c r="C92" s="346"/>
      <c r="D92" s="347"/>
      <c r="E92" s="346"/>
      <c r="F92" s="347"/>
      <c r="G92" s="347"/>
      <c r="H92" s="347"/>
      <c r="I92" s="347"/>
      <c r="J92" s="347"/>
      <c r="K92" s="347"/>
      <c r="L92" s="368"/>
      <c r="M92" s="368"/>
      <c r="N92" s="368"/>
      <c r="O92" s="368"/>
      <c r="P92" s="368"/>
    </row>
    <row r="93" spans="1:16">
      <c r="A93" s="345"/>
      <c r="B93" s="344"/>
      <c r="C93" s="346"/>
      <c r="D93" s="347"/>
      <c r="E93" s="346"/>
      <c r="F93" s="347"/>
      <c r="G93" s="347"/>
      <c r="H93" s="347"/>
      <c r="I93" s="347"/>
      <c r="J93" s="347"/>
      <c r="K93" s="347"/>
      <c r="L93" s="368"/>
      <c r="M93" s="368"/>
      <c r="N93" s="368"/>
      <c r="O93" s="368"/>
      <c r="P93" s="368"/>
    </row>
    <row r="94" spans="1:16">
      <c r="A94" s="345"/>
      <c r="B94" s="344"/>
      <c r="C94" s="346"/>
      <c r="D94" s="347"/>
      <c r="E94" s="346"/>
      <c r="F94" s="347"/>
      <c r="G94" s="347"/>
      <c r="H94" s="347"/>
      <c r="I94" s="347"/>
      <c r="J94" s="347"/>
      <c r="K94" s="347"/>
      <c r="L94" s="368"/>
      <c r="M94" s="368"/>
      <c r="N94" s="368"/>
      <c r="O94" s="368"/>
      <c r="P94" s="368"/>
    </row>
    <row r="95" spans="1:16">
      <c r="A95" s="345"/>
      <c r="B95" s="344"/>
      <c r="C95" s="346"/>
      <c r="D95" s="347"/>
      <c r="E95" s="346"/>
      <c r="F95" s="347"/>
      <c r="G95" s="347"/>
      <c r="H95" s="347"/>
      <c r="I95" s="347"/>
      <c r="J95" s="347"/>
      <c r="K95" s="347"/>
      <c r="L95" s="368"/>
      <c r="M95" s="368"/>
      <c r="N95" s="368"/>
      <c r="O95" s="368"/>
      <c r="P95" s="368"/>
    </row>
    <row r="96" spans="1:16">
      <c r="A96" s="345"/>
      <c r="B96" s="344"/>
      <c r="C96" s="346"/>
      <c r="D96" s="347"/>
      <c r="E96" s="346"/>
      <c r="F96" s="347"/>
      <c r="G96" s="347"/>
      <c r="H96" s="347"/>
      <c r="I96" s="347"/>
      <c r="J96" s="347"/>
      <c r="K96" s="347"/>
      <c r="L96" s="368"/>
      <c r="M96" s="368"/>
      <c r="N96" s="368"/>
      <c r="O96" s="368"/>
      <c r="P96" s="368"/>
    </row>
    <row r="97" spans="1:16">
      <c r="A97" s="345"/>
      <c r="B97" s="344"/>
      <c r="C97" s="346"/>
      <c r="D97" s="347"/>
      <c r="E97" s="346"/>
      <c r="F97" s="347"/>
      <c r="G97" s="347"/>
      <c r="H97" s="347"/>
      <c r="I97" s="347"/>
      <c r="J97" s="347"/>
      <c r="K97" s="347"/>
      <c r="L97" s="368"/>
      <c r="M97" s="368"/>
      <c r="N97" s="368"/>
      <c r="O97" s="368"/>
      <c r="P97" s="368"/>
    </row>
    <row r="98" spans="1:16">
      <c r="A98" s="345"/>
      <c r="B98" s="344"/>
      <c r="C98" s="346"/>
      <c r="D98" s="347"/>
      <c r="E98" s="346"/>
      <c r="F98" s="347"/>
      <c r="G98" s="347"/>
      <c r="H98" s="347"/>
      <c r="I98" s="347"/>
      <c r="J98" s="347"/>
      <c r="K98" s="347"/>
      <c r="L98" s="368"/>
      <c r="M98" s="368"/>
      <c r="N98" s="368"/>
      <c r="O98" s="368"/>
      <c r="P98" s="368"/>
    </row>
    <row r="99" spans="1:16">
      <c r="A99" s="345"/>
      <c r="B99" s="344"/>
      <c r="C99" s="346"/>
      <c r="D99" s="347"/>
      <c r="E99" s="346"/>
      <c r="F99" s="347"/>
      <c r="G99" s="347"/>
      <c r="H99" s="347"/>
      <c r="I99" s="347"/>
      <c r="J99" s="347"/>
      <c r="K99" s="347"/>
      <c r="L99" s="368"/>
      <c r="M99" s="368"/>
      <c r="N99" s="368"/>
      <c r="O99" s="368"/>
      <c r="P99" s="368"/>
    </row>
    <row r="100" spans="1:16">
      <c r="A100" s="345"/>
      <c r="B100" s="344"/>
      <c r="C100" s="346"/>
      <c r="D100" s="347"/>
      <c r="E100" s="346"/>
      <c r="F100" s="347"/>
      <c r="G100" s="347"/>
      <c r="H100" s="347"/>
      <c r="I100" s="347"/>
      <c r="J100" s="347"/>
      <c r="K100" s="347"/>
      <c r="L100" s="368"/>
      <c r="M100" s="368"/>
      <c r="N100" s="368"/>
      <c r="O100" s="368"/>
      <c r="P100" s="368"/>
    </row>
    <row r="101" spans="1:16">
      <c r="A101" s="345"/>
      <c r="B101" s="344"/>
      <c r="C101" s="346"/>
      <c r="D101" s="347"/>
      <c r="E101" s="346"/>
      <c r="F101" s="347"/>
      <c r="G101" s="347"/>
      <c r="H101" s="347"/>
      <c r="I101" s="347"/>
      <c r="J101" s="347"/>
      <c r="K101" s="347"/>
      <c r="L101" s="368"/>
      <c r="M101" s="368"/>
      <c r="N101" s="368"/>
      <c r="O101" s="368"/>
      <c r="P101" s="368"/>
    </row>
    <row r="102" spans="1:16">
      <c r="A102" s="345"/>
      <c r="B102" s="344"/>
      <c r="C102" s="346"/>
      <c r="D102" s="347"/>
      <c r="E102" s="346"/>
      <c r="F102" s="347"/>
      <c r="G102" s="347"/>
      <c r="H102" s="347"/>
      <c r="I102" s="347"/>
      <c r="J102" s="347"/>
      <c r="K102" s="347"/>
      <c r="L102" s="368"/>
      <c r="M102" s="368"/>
      <c r="N102" s="368"/>
      <c r="O102" s="368"/>
      <c r="P102" s="368"/>
    </row>
    <row r="103" spans="1:16">
      <c r="A103" s="345"/>
      <c r="B103" s="344"/>
      <c r="C103" s="346"/>
      <c r="D103" s="347"/>
      <c r="E103" s="346"/>
      <c r="F103" s="347"/>
      <c r="G103" s="347"/>
      <c r="H103" s="347"/>
      <c r="I103" s="347"/>
      <c r="J103" s="347"/>
      <c r="K103" s="347"/>
      <c r="L103" s="368"/>
      <c r="M103" s="368"/>
      <c r="N103" s="368"/>
      <c r="O103" s="368"/>
      <c r="P103" s="368"/>
    </row>
    <row r="104" spans="1:16">
      <c r="A104" s="345"/>
      <c r="B104" s="344"/>
      <c r="C104" s="346"/>
      <c r="D104" s="347"/>
      <c r="E104" s="346"/>
      <c r="F104" s="347"/>
      <c r="G104" s="347"/>
      <c r="H104" s="347"/>
      <c r="I104" s="347"/>
      <c r="J104" s="347"/>
      <c r="K104" s="347"/>
      <c r="L104" s="368"/>
      <c r="M104" s="368"/>
      <c r="N104" s="368"/>
      <c r="O104" s="368"/>
      <c r="P104" s="368"/>
    </row>
    <row r="105" spans="1:16">
      <c r="A105" s="345"/>
      <c r="B105" s="344"/>
      <c r="C105" s="346"/>
      <c r="D105" s="347"/>
      <c r="E105" s="346"/>
      <c r="F105" s="347"/>
      <c r="G105" s="347"/>
      <c r="H105" s="347"/>
      <c r="I105" s="347"/>
      <c r="J105" s="347"/>
      <c r="K105" s="347"/>
      <c r="L105" s="368"/>
      <c r="M105" s="368"/>
      <c r="N105" s="368"/>
      <c r="O105" s="368"/>
      <c r="P105" s="368"/>
    </row>
    <row r="106" spans="1:16">
      <c r="A106" s="345"/>
      <c r="B106" s="344"/>
      <c r="C106" s="346"/>
      <c r="D106" s="347"/>
      <c r="E106" s="346"/>
      <c r="F106" s="347"/>
      <c r="G106" s="347"/>
      <c r="H106" s="347"/>
      <c r="I106" s="347"/>
      <c r="J106" s="347"/>
      <c r="K106" s="347"/>
      <c r="L106" s="368"/>
      <c r="M106" s="368"/>
      <c r="N106" s="368"/>
      <c r="O106" s="368"/>
      <c r="P106" s="368"/>
    </row>
    <row r="107" spans="1:16">
      <c r="A107" s="345"/>
      <c r="B107" s="344"/>
      <c r="C107" s="346"/>
      <c r="D107" s="347"/>
      <c r="E107" s="346"/>
      <c r="F107" s="347"/>
      <c r="G107" s="347"/>
      <c r="H107" s="347"/>
      <c r="I107" s="347"/>
      <c r="J107" s="347"/>
      <c r="K107" s="347"/>
      <c r="L107" s="368"/>
      <c r="M107" s="368"/>
      <c r="N107" s="368"/>
      <c r="O107" s="368"/>
      <c r="P107" s="368"/>
    </row>
    <row r="108" spans="1:16">
      <c r="A108" s="345"/>
      <c r="B108" s="344"/>
      <c r="C108" s="346"/>
      <c r="D108" s="347"/>
      <c r="E108" s="346"/>
      <c r="F108" s="347"/>
      <c r="G108" s="347"/>
      <c r="H108" s="347"/>
      <c r="I108" s="347"/>
      <c r="J108" s="347"/>
      <c r="K108" s="347"/>
      <c r="L108" s="368"/>
      <c r="M108" s="368"/>
      <c r="N108" s="368"/>
      <c r="O108" s="368"/>
      <c r="P108" s="368"/>
    </row>
    <row r="109" spans="1:16">
      <c r="A109" s="345"/>
      <c r="B109" s="344"/>
      <c r="C109" s="346"/>
      <c r="D109" s="347"/>
      <c r="E109" s="346"/>
      <c r="F109" s="347"/>
      <c r="G109" s="347"/>
      <c r="H109" s="347"/>
      <c r="I109" s="347"/>
      <c r="J109" s="347"/>
      <c r="K109" s="347"/>
      <c r="L109" s="368"/>
      <c r="M109" s="368"/>
      <c r="N109" s="368"/>
      <c r="O109" s="368"/>
      <c r="P109" s="368"/>
    </row>
    <row r="110" spans="1:16">
      <c r="A110" s="345"/>
      <c r="B110" s="344"/>
      <c r="C110" s="346"/>
      <c r="D110" s="347"/>
      <c r="E110" s="346"/>
      <c r="F110" s="347"/>
      <c r="G110" s="347"/>
      <c r="H110" s="347"/>
      <c r="I110" s="347"/>
      <c r="J110" s="347"/>
      <c r="K110" s="347"/>
      <c r="L110" s="368"/>
      <c r="M110" s="368"/>
      <c r="N110" s="368"/>
      <c r="O110" s="368"/>
      <c r="P110" s="368"/>
    </row>
    <row r="111" spans="1:16">
      <c r="A111" s="345"/>
      <c r="B111" s="344"/>
      <c r="C111" s="346"/>
      <c r="D111" s="347"/>
      <c r="E111" s="346"/>
      <c r="F111" s="347"/>
      <c r="G111" s="347"/>
      <c r="H111" s="347"/>
      <c r="I111" s="347"/>
      <c r="J111" s="347"/>
      <c r="K111" s="347"/>
      <c r="L111" s="368"/>
      <c r="M111" s="368"/>
      <c r="N111" s="368"/>
      <c r="O111" s="368"/>
      <c r="P111" s="368"/>
    </row>
    <row r="112" spans="1:16">
      <c r="A112" s="345"/>
      <c r="B112" s="344"/>
      <c r="C112" s="346"/>
      <c r="D112" s="347"/>
      <c r="E112" s="346"/>
      <c r="F112" s="347"/>
      <c r="G112" s="347"/>
      <c r="H112" s="347"/>
      <c r="I112" s="347"/>
      <c r="J112" s="347"/>
      <c r="K112" s="347"/>
      <c r="L112" s="368"/>
      <c r="M112" s="368"/>
      <c r="N112" s="368"/>
      <c r="O112" s="368"/>
      <c r="P112" s="368"/>
    </row>
    <row r="113" spans="1:16">
      <c r="A113" s="345"/>
      <c r="B113" s="344"/>
      <c r="C113" s="346"/>
      <c r="D113" s="347"/>
      <c r="E113" s="346"/>
      <c r="F113" s="347"/>
      <c r="G113" s="347"/>
      <c r="H113" s="347"/>
      <c r="I113" s="347"/>
      <c r="J113" s="347"/>
      <c r="K113" s="347"/>
      <c r="L113" s="368"/>
      <c r="M113" s="368"/>
      <c r="N113" s="368"/>
      <c r="O113" s="368"/>
      <c r="P113" s="368"/>
    </row>
    <row r="114" spans="1:16">
      <c r="A114" s="345"/>
      <c r="B114" s="344"/>
      <c r="C114" s="346"/>
      <c r="D114" s="347"/>
      <c r="E114" s="346"/>
      <c r="F114" s="347"/>
      <c r="G114" s="347"/>
      <c r="H114" s="347"/>
      <c r="I114" s="347"/>
      <c r="J114" s="347"/>
      <c r="K114" s="347"/>
      <c r="L114" s="368"/>
      <c r="M114" s="368"/>
      <c r="N114" s="368"/>
      <c r="O114" s="368"/>
      <c r="P114" s="368"/>
    </row>
    <row r="115" spans="1:16">
      <c r="A115" s="345"/>
      <c r="B115" s="344"/>
      <c r="C115" s="346"/>
      <c r="D115" s="347"/>
      <c r="E115" s="346"/>
      <c r="F115" s="347"/>
      <c r="G115" s="347"/>
      <c r="H115" s="347"/>
      <c r="I115" s="347"/>
      <c r="J115" s="347"/>
      <c r="K115" s="347"/>
      <c r="L115" s="368"/>
      <c r="M115" s="368"/>
      <c r="N115" s="368"/>
      <c r="O115" s="368"/>
      <c r="P115" s="368"/>
    </row>
    <row r="116" spans="1:16">
      <c r="A116" s="345"/>
      <c r="B116" s="344"/>
      <c r="C116" s="346"/>
      <c r="D116" s="347"/>
      <c r="E116" s="346"/>
      <c r="F116" s="347"/>
      <c r="G116" s="347"/>
      <c r="H116" s="347"/>
      <c r="I116" s="347"/>
      <c r="J116" s="347"/>
      <c r="K116" s="347"/>
      <c r="L116" s="368"/>
      <c r="M116" s="368"/>
      <c r="N116" s="368"/>
      <c r="O116" s="368"/>
      <c r="P116" s="368"/>
    </row>
    <row r="117" spans="1:16">
      <c r="A117" s="345"/>
      <c r="B117" s="344"/>
      <c r="C117" s="346"/>
      <c r="D117" s="347"/>
      <c r="E117" s="346"/>
      <c r="F117" s="347"/>
      <c r="G117" s="347"/>
      <c r="H117" s="347"/>
      <c r="I117" s="347"/>
      <c r="J117" s="347"/>
      <c r="K117" s="347"/>
      <c r="L117" s="368"/>
      <c r="M117" s="368"/>
      <c r="N117" s="368"/>
      <c r="O117" s="368"/>
      <c r="P117" s="368"/>
    </row>
    <row r="118" spans="1:16">
      <c r="A118" s="345"/>
      <c r="B118" s="344"/>
      <c r="C118" s="346"/>
      <c r="D118" s="347"/>
      <c r="E118" s="346"/>
      <c r="F118" s="347"/>
      <c r="G118" s="347"/>
      <c r="H118" s="347"/>
      <c r="I118" s="347"/>
      <c r="J118" s="347"/>
      <c r="K118" s="347"/>
      <c r="L118" s="368"/>
      <c r="M118" s="368"/>
      <c r="N118" s="368"/>
      <c r="O118" s="368"/>
      <c r="P118" s="368"/>
    </row>
    <row r="119" spans="1:16">
      <c r="A119" s="345"/>
      <c r="B119" s="344"/>
      <c r="C119" s="346"/>
      <c r="D119" s="347"/>
      <c r="E119" s="346"/>
      <c r="F119" s="347"/>
      <c r="G119" s="347"/>
      <c r="H119" s="347"/>
      <c r="I119" s="347"/>
      <c r="J119" s="347"/>
      <c r="K119" s="347"/>
      <c r="L119" s="368"/>
      <c r="M119" s="368"/>
      <c r="N119" s="368"/>
      <c r="O119" s="368"/>
      <c r="P119" s="368"/>
    </row>
    <row r="120" spans="1:16">
      <c r="A120" s="345"/>
      <c r="B120" s="344"/>
      <c r="C120" s="346"/>
      <c r="D120" s="347"/>
      <c r="E120" s="346"/>
      <c r="F120" s="347"/>
      <c r="G120" s="347"/>
      <c r="H120" s="347"/>
      <c r="I120" s="347"/>
      <c r="J120" s="347"/>
      <c r="K120" s="347"/>
      <c r="L120" s="368"/>
      <c r="M120" s="368"/>
      <c r="N120" s="368"/>
      <c r="O120" s="368"/>
      <c r="P120" s="368"/>
    </row>
    <row r="121" spans="1:16">
      <c r="A121" s="345"/>
      <c r="B121" s="344"/>
      <c r="C121" s="346"/>
      <c r="D121" s="347"/>
      <c r="E121" s="346"/>
      <c r="F121" s="347"/>
      <c r="G121" s="347"/>
      <c r="H121" s="347"/>
      <c r="I121" s="347"/>
      <c r="J121" s="347"/>
      <c r="K121" s="347"/>
      <c r="L121" s="368"/>
      <c r="M121" s="368"/>
      <c r="N121" s="368"/>
      <c r="O121" s="368"/>
      <c r="P121" s="368"/>
    </row>
    <row r="122" spans="1:16">
      <c r="A122" s="345"/>
      <c r="B122" s="344"/>
      <c r="C122" s="346"/>
      <c r="D122" s="347"/>
      <c r="E122" s="346"/>
      <c r="F122" s="347"/>
      <c r="G122" s="347"/>
      <c r="H122" s="347"/>
      <c r="I122" s="347"/>
      <c r="J122" s="347"/>
      <c r="K122" s="347"/>
      <c r="L122" s="368"/>
      <c r="M122" s="368"/>
      <c r="N122" s="368"/>
      <c r="O122" s="368"/>
      <c r="P122" s="368"/>
    </row>
    <row r="123" spans="1:16">
      <c r="A123" s="345"/>
      <c r="B123" s="344"/>
      <c r="C123" s="346"/>
      <c r="D123" s="347"/>
      <c r="E123" s="346"/>
      <c r="F123" s="347"/>
      <c r="G123" s="347"/>
      <c r="H123" s="347"/>
      <c r="I123" s="347"/>
      <c r="J123" s="347"/>
      <c r="K123" s="347"/>
      <c r="L123" s="368"/>
      <c r="M123" s="368"/>
      <c r="N123" s="368"/>
      <c r="O123" s="368"/>
      <c r="P123" s="368"/>
    </row>
    <row r="124" spans="1:16">
      <c r="A124" s="345"/>
      <c r="B124" s="344"/>
      <c r="C124" s="346"/>
      <c r="D124" s="347"/>
      <c r="E124" s="346"/>
      <c r="F124" s="347"/>
      <c r="G124" s="347"/>
      <c r="H124" s="347"/>
      <c r="I124" s="347"/>
      <c r="J124" s="347"/>
      <c r="K124" s="347"/>
      <c r="L124" s="368"/>
      <c r="M124" s="368"/>
      <c r="N124" s="368"/>
      <c r="O124" s="368"/>
      <c r="P124" s="368"/>
    </row>
    <row r="125" spans="1:16">
      <c r="A125" s="345"/>
      <c r="B125" s="344"/>
      <c r="C125" s="346"/>
      <c r="D125" s="347"/>
      <c r="E125" s="346"/>
      <c r="F125" s="347"/>
      <c r="G125" s="347"/>
      <c r="H125" s="347"/>
      <c r="I125" s="347"/>
      <c r="J125" s="347"/>
      <c r="K125" s="347"/>
      <c r="L125" s="368"/>
      <c r="M125" s="368"/>
      <c r="N125" s="368"/>
      <c r="O125" s="368"/>
      <c r="P125" s="368"/>
    </row>
    <row r="126" spans="1:16">
      <c r="A126" s="345"/>
      <c r="B126" s="344"/>
      <c r="C126" s="346"/>
      <c r="D126" s="347"/>
      <c r="E126" s="346"/>
      <c r="F126" s="347"/>
      <c r="G126" s="347"/>
      <c r="H126" s="347"/>
      <c r="I126" s="347"/>
      <c r="J126" s="347"/>
      <c r="K126" s="347"/>
      <c r="L126" s="368"/>
      <c r="M126" s="368"/>
      <c r="N126" s="368"/>
      <c r="O126" s="368"/>
      <c r="P126" s="368"/>
    </row>
    <row r="127" spans="1:16">
      <c r="A127" s="345"/>
      <c r="B127" s="344"/>
      <c r="C127" s="346"/>
      <c r="D127" s="347"/>
      <c r="E127" s="346"/>
      <c r="F127" s="347"/>
      <c r="G127" s="347"/>
      <c r="H127" s="347"/>
      <c r="I127" s="347"/>
      <c r="J127" s="347"/>
      <c r="K127" s="347"/>
      <c r="L127" s="368"/>
      <c r="M127" s="368"/>
      <c r="N127" s="368"/>
      <c r="O127" s="368"/>
      <c r="P127" s="368"/>
    </row>
    <row r="128" spans="1:16">
      <c r="A128" s="345"/>
      <c r="B128" s="344"/>
      <c r="C128" s="346"/>
      <c r="D128" s="347"/>
      <c r="E128" s="346"/>
      <c r="F128" s="347"/>
      <c r="G128" s="347"/>
      <c r="H128" s="347"/>
      <c r="I128" s="347"/>
      <c r="J128" s="347"/>
      <c r="K128" s="347"/>
      <c r="L128" s="368"/>
      <c r="M128" s="368"/>
      <c r="N128" s="368"/>
      <c r="O128" s="368"/>
      <c r="P128" s="368"/>
    </row>
    <row r="129" spans="1:16">
      <c r="A129" s="345"/>
      <c r="B129" s="344"/>
      <c r="C129" s="346"/>
      <c r="D129" s="347"/>
      <c r="E129" s="346"/>
      <c r="F129" s="347"/>
      <c r="G129" s="347"/>
      <c r="H129" s="347"/>
      <c r="I129" s="347"/>
      <c r="J129" s="347"/>
      <c r="K129" s="347"/>
      <c r="L129" s="368"/>
      <c r="M129" s="368"/>
      <c r="N129" s="368"/>
      <c r="O129" s="368"/>
      <c r="P129" s="368"/>
    </row>
    <row r="130" spans="1:16">
      <c r="A130" s="345"/>
      <c r="B130" s="344"/>
      <c r="C130" s="346"/>
      <c r="D130" s="347"/>
      <c r="E130" s="346"/>
      <c r="F130" s="347"/>
      <c r="G130" s="347"/>
      <c r="H130" s="347"/>
      <c r="I130" s="347"/>
      <c r="J130" s="347"/>
      <c r="K130" s="347"/>
      <c r="L130" s="368"/>
      <c r="M130" s="368"/>
      <c r="N130" s="368"/>
      <c r="O130" s="368"/>
      <c r="P130" s="368"/>
    </row>
    <row r="131" spans="1:16">
      <c r="A131" s="345"/>
      <c r="B131" s="344"/>
      <c r="C131" s="346"/>
      <c r="D131" s="347"/>
      <c r="E131" s="346"/>
      <c r="F131" s="347"/>
      <c r="G131" s="347"/>
      <c r="H131" s="347"/>
      <c r="I131" s="347"/>
      <c r="J131" s="347"/>
      <c r="K131" s="347"/>
      <c r="L131" s="368"/>
      <c r="M131" s="368"/>
      <c r="N131" s="368"/>
      <c r="O131" s="368"/>
      <c r="P131" s="368"/>
    </row>
    <row r="132" spans="1:16">
      <c r="A132" s="345"/>
      <c r="B132" s="344"/>
      <c r="C132" s="346"/>
      <c r="D132" s="347"/>
      <c r="E132" s="346"/>
      <c r="F132" s="347"/>
      <c r="G132" s="347"/>
      <c r="H132" s="347"/>
      <c r="I132" s="347"/>
      <c r="J132" s="347"/>
      <c r="K132" s="347"/>
      <c r="L132" s="368"/>
      <c r="M132" s="368"/>
      <c r="N132" s="368"/>
      <c r="O132" s="368"/>
      <c r="P132" s="368"/>
    </row>
    <row r="133" spans="1:16">
      <c r="A133" s="345"/>
      <c r="B133" s="344"/>
      <c r="C133" s="346"/>
      <c r="D133" s="347"/>
      <c r="E133" s="346"/>
      <c r="F133" s="347"/>
      <c r="G133" s="347"/>
      <c r="H133" s="347"/>
      <c r="I133" s="347"/>
      <c r="J133" s="347"/>
      <c r="K133" s="347"/>
      <c r="L133" s="368"/>
      <c r="M133" s="368"/>
      <c r="N133" s="368"/>
      <c r="O133" s="368"/>
      <c r="P133" s="368"/>
    </row>
    <row r="134" spans="1:16">
      <c r="A134" s="345"/>
      <c r="B134" s="344"/>
      <c r="C134" s="346"/>
      <c r="D134" s="347"/>
      <c r="E134" s="346"/>
      <c r="F134" s="347"/>
      <c r="G134" s="347"/>
      <c r="H134" s="347"/>
      <c r="I134" s="347"/>
      <c r="J134" s="347"/>
      <c r="K134" s="347"/>
      <c r="L134" s="368"/>
      <c r="M134" s="368"/>
      <c r="N134" s="368"/>
      <c r="O134" s="368"/>
      <c r="P134" s="368"/>
    </row>
    <row r="135" spans="1:16">
      <c r="A135" s="345"/>
      <c r="B135" s="344"/>
      <c r="C135" s="346"/>
      <c r="D135" s="347"/>
      <c r="E135" s="346"/>
      <c r="F135" s="347"/>
      <c r="G135" s="347"/>
      <c r="H135" s="347"/>
      <c r="I135" s="347"/>
      <c r="J135" s="347"/>
      <c r="K135" s="347"/>
      <c r="L135" s="368"/>
      <c r="M135" s="368"/>
      <c r="N135" s="368"/>
      <c r="O135" s="368"/>
      <c r="P135" s="368"/>
    </row>
    <row r="136" spans="1:16">
      <c r="A136" s="345"/>
      <c r="B136" s="344"/>
      <c r="C136" s="346"/>
      <c r="D136" s="347"/>
      <c r="E136" s="346"/>
      <c r="F136" s="347"/>
      <c r="G136" s="347"/>
      <c r="H136" s="347"/>
      <c r="I136" s="347"/>
      <c r="J136" s="347"/>
      <c r="K136" s="347"/>
      <c r="L136" s="368"/>
      <c r="M136" s="368"/>
      <c r="N136" s="368"/>
      <c r="O136" s="368"/>
      <c r="P136" s="368"/>
    </row>
    <row r="137" spans="1:16">
      <c r="A137" s="345"/>
      <c r="B137" s="344"/>
      <c r="C137" s="346"/>
      <c r="D137" s="347"/>
      <c r="E137" s="346"/>
      <c r="F137" s="347"/>
      <c r="G137" s="347"/>
      <c r="H137" s="347"/>
      <c r="I137" s="347"/>
      <c r="J137" s="347"/>
      <c r="K137" s="347"/>
      <c r="L137" s="368"/>
      <c r="M137" s="368"/>
      <c r="N137" s="368"/>
      <c r="O137" s="368"/>
      <c r="P137" s="368"/>
    </row>
    <row r="138" spans="1:16">
      <c r="A138" s="345"/>
      <c r="B138" s="344"/>
      <c r="C138" s="346"/>
      <c r="D138" s="347"/>
      <c r="E138" s="346"/>
      <c r="F138" s="347"/>
      <c r="G138" s="347"/>
      <c r="H138" s="347"/>
      <c r="I138" s="347"/>
      <c r="J138" s="347"/>
      <c r="K138" s="347"/>
      <c r="L138" s="368"/>
      <c r="M138" s="368"/>
      <c r="N138" s="368"/>
      <c r="O138" s="368"/>
      <c r="P138" s="368"/>
    </row>
    <row r="139" spans="1:16">
      <c r="A139" s="345"/>
      <c r="B139" s="344"/>
      <c r="C139" s="346"/>
      <c r="D139" s="347"/>
      <c r="E139" s="346"/>
      <c r="F139" s="347"/>
      <c r="G139" s="347"/>
      <c r="H139" s="347"/>
      <c r="I139" s="347"/>
      <c r="J139" s="347"/>
      <c r="K139" s="347"/>
      <c r="L139" s="368"/>
      <c r="M139" s="368"/>
      <c r="N139" s="368"/>
      <c r="O139" s="368"/>
      <c r="P139" s="368"/>
    </row>
    <row r="140" spans="1:16">
      <c r="A140" s="345"/>
      <c r="B140" s="344"/>
      <c r="C140" s="346"/>
      <c r="D140" s="347"/>
      <c r="E140" s="346"/>
      <c r="F140" s="347"/>
      <c r="G140" s="347"/>
      <c r="H140" s="347"/>
      <c r="I140" s="347"/>
      <c r="J140" s="347"/>
      <c r="K140" s="347"/>
      <c r="L140" s="368"/>
      <c r="M140" s="368"/>
      <c r="N140" s="368"/>
      <c r="O140" s="368"/>
      <c r="P140" s="368"/>
    </row>
    <row r="141" spans="1:16">
      <c r="A141" s="345"/>
      <c r="B141" s="344"/>
      <c r="C141" s="346"/>
      <c r="D141" s="347"/>
      <c r="E141" s="346"/>
      <c r="F141" s="347"/>
      <c r="G141" s="347"/>
      <c r="H141" s="347"/>
      <c r="I141" s="347"/>
      <c r="J141" s="347"/>
      <c r="K141" s="347"/>
      <c r="L141" s="368"/>
      <c r="M141" s="368"/>
      <c r="N141" s="368"/>
      <c r="O141" s="368"/>
      <c r="P141" s="368"/>
    </row>
    <row r="142" spans="1:16">
      <c r="A142" s="345"/>
      <c r="B142" s="344"/>
      <c r="C142" s="346"/>
      <c r="D142" s="347"/>
      <c r="E142" s="346"/>
      <c r="F142" s="347"/>
      <c r="G142" s="347"/>
      <c r="H142" s="347"/>
      <c r="I142" s="347"/>
      <c r="J142" s="347"/>
      <c r="K142" s="347"/>
      <c r="L142" s="368"/>
      <c r="M142" s="368"/>
      <c r="N142" s="368"/>
      <c r="O142" s="368"/>
      <c r="P142" s="368"/>
    </row>
    <row r="143" spans="1:16">
      <c r="A143" s="345"/>
      <c r="B143" s="344"/>
      <c r="C143" s="346"/>
      <c r="D143" s="347"/>
      <c r="E143" s="346"/>
      <c r="F143" s="347"/>
      <c r="G143" s="347"/>
      <c r="H143" s="347"/>
      <c r="I143" s="347"/>
      <c r="J143" s="347"/>
      <c r="K143" s="347"/>
      <c r="L143" s="368"/>
      <c r="M143" s="368"/>
      <c r="N143" s="368"/>
      <c r="O143" s="368"/>
      <c r="P143" s="368"/>
    </row>
    <row r="144" spans="1:16">
      <c r="A144" s="345"/>
      <c r="B144" s="344"/>
      <c r="C144" s="346"/>
      <c r="D144" s="347"/>
      <c r="E144" s="346"/>
      <c r="F144" s="347"/>
      <c r="G144" s="347"/>
      <c r="H144" s="347"/>
      <c r="I144" s="347"/>
      <c r="J144" s="347"/>
      <c r="K144" s="347"/>
      <c r="L144" s="368"/>
      <c r="M144" s="368"/>
      <c r="N144" s="368"/>
      <c r="O144" s="368"/>
      <c r="P144" s="368"/>
    </row>
    <row r="145" spans="1:16">
      <c r="A145" s="345"/>
      <c r="B145" s="344"/>
      <c r="C145" s="346"/>
      <c r="D145" s="347"/>
      <c r="E145" s="346"/>
      <c r="F145" s="347"/>
      <c r="G145" s="347"/>
      <c r="H145" s="347"/>
      <c r="I145" s="347"/>
      <c r="J145" s="347"/>
      <c r="K145" s="347"/>
      <c r="L145" s="368"/>
      <c r="M145" s="368"/>
      <c r="N145" s="368"/>
      <c r="O145" s="368"/>
      <c r="P145" s="368"/>
    </row>
    <row r="146" spans="1:16">
      <c r="A146" s="345"/>
      <c r="B146" s="344"/>
      <c r="C146" s="346"/>
      <c r="D146" s="347"/>
      <c r="E146" s="346"/>
      <c r="F146" s="347"/>
      <c r="G146" s="347"/>
      <c r="H146" s="347"/>
      <c r="I146" s="347"/>
      <c r="J146" s="347"/>
      <c r="K146" s="347"/>
      <c r="L146" s="368"/>
      <c r="M146" s="368"/>
      <c r="N146" s="368"/>
      <c r="O146" s="368"/>
      <c r="P146" s="368"/>
    </row>
    <row r="147" spans="1:16">
      <c r="A147" s="345"/>
      <c r="B147" s="344"/>
      <c r="C147" s="346"/>
      <c r="D147" s="347"/>
      <c r="E147" s="346"/>
      <c r="F147" s="347"/>
      <c r="G147" s="347"/>
      <c r="H147" s="347"/>
      <c r="I147" s="347"/>
      <c r="J147" s="347"/>
      <c r="K147" s="347"/>
      <c r="L147" s="368"/>
      <c r="M147" s="368"/>
      <c r="N147" s="368"/>
      <c r="O147" s="368"/>
      <c r="P147" s="368"/>
    </row>
    <row r="148" spans="1:16">
      <c r="A148" s="345"/>
      <c r="B148" s="344"/>
      <c r="C148" s="346"/>
      <c r="D148" s="347"/>
      <c r="E148" s="346"/>
      <c r="F148" s="347"/>
      <c r="G148" s="347"/>
      <c r="H148" s="347"/>
      <c r="I148" s="347"/>
      <c r="J148" s="347"/>
      <c r="K148" s="347"/>
      <c r="L148" s="368"/>
      <c r="M148" s="368"/>
      <c r="N148" s="368"/>
      <c r="O148" s="368"/>
      <c r="P148" s="368"/>
    </row>
    <row r="149" spans="1:16">
      <c r="A149" s="345"/>
      <c r="B149" s="344"/>
      <c r="C149" s="346"/>
      <c r="D149" s="347"/>
      <c r="E149" s="346"/>
      <c r="F149" s="347"/>
      <c r="G149" s="347"/>
      <c r="H149" s="347"/>
      <c r="I149" s="347"/>
      <c r="J149" s="347"/>
      <c r="K149" s="347"/>
      <c r="L149" s="368"/>
      <c r="M149" s="368"/>
      <c r="N149" s="368"/>
      <c r="O149" s="368"/>
      <c r="P149" s="368"/>
    </row>
    <row r="150" spans="1:16">
      <c r="A150" s="345"/>
      <c r="B150" s="344"/>
      <c r="C150" s="346"/>
      <c r="D150" s="347"/>
      <c r="E150" s="346"/>
      <c r="F150" s="347"/>
      <c r="G150" s="347"/>
      <c r="H150" s="347"/>
      <c r="I150" s="347"/>
      <c r="J150" s="347"/>
      <c r="K150" s="347"/>
      <c r="L150" s="368"/>
      <c r="M150" s="368"/>
      <c r="N150" s="368"/>
      <c r="O150" s="368"/>
      <c r="P150" s="368"/>
    </row>
    <row r="151" spans="1:16">
      <c r="A151" s="345"/>
      <c r="B151" s="344"/>
      <c r="C151" s="346"/>
      <c r="D151" s="347"/>
      <c r="E151" s="346"/>
      <c r="F151" s="347"/>
      <c r="G151" s="347"/>
      <c r="H151" s="347"/>
      <c r="I151" s="347"/>
      <c r="J151" s="347"/>
      <c r="K151" s="347"/>
      <c r="L151" s="368"/>
      <c r="M151" s="368"/>
      <c r="N151" s="368"/>
      <c r="O151" s="368"/>
      <c r="P151" s="368"/>
    </row>
    <row r="152" spans="1:16">
      <c r="A152" s="345"/>
      <c r="B152" s="344"/>
      <c r="C152" s="346"/>
      <c r="D152" s="347"/>
      <c r="E152" s="346"/>
      <c r="F152" s="347"/>
      <c r="G152" s="347"/>
      <c r="H152" s="347"/>
      <c r="I152" s="347"/>
      <c r="J152" s="347"/>
      <c r="K152" s="347"/>
      <c r="L152" s="368"/>
      <c r="M152" s="368"/>
      <c r="N152" s="368"/>
      <c r="O152" s="368"/>
      <c r="P152" s="368"/>
    </row>
    <row r="153" spans="1:16">
      <c r="A153" s="345"/>
      <c r="B153" s="344"/>
      <c r="C153" s="346"/>
      <c r="D153" s="347"/>
      <c r="E153" s="346"/>
      <c r="F153" s="347"/>
      <c r="G153" s="347"/>
      <c r="H153" s="347"/>
      <c r="I153" s="347"/>
      <c r="J153" s="347"/>
      <c r="K153" s="347"/>
      <c r="L153" s="368"/>
      <c r="M153" s="368"/>
      <c r="N153" s="368"/>
      <c r="O153" s="368"/>
      <c r="P153" s="368"/>
    </row>
    <row r="154" spans="1:16">
      <c r="A154" s="345"/>
      <c r="B154" s="344"/>
      <c r="C154" s="346"/>
      <c r="D154" s="347"/>
      <c r="E154" s="346"/>
      <c r="F154" s="347"/>
      <c r="G154" s="347"/>
      <c r="H154" s="347"/>
      <c r="I154" s="347"/>
      <c r="J154" s="347"/>
      <c r="K154" s="347"/>
      <c r="L154" s="368"/>
      <c r="M154" s="368"/>
      <c r="N154" s="368"/>
      <c r="O154" s="368"/>
      <c r="P154" s="368"/>
    </row>
    <row r="155" spans="1:16">
      <c r="A155" s="345"/>
      <c r="B155" s="344"/>
      <c r="C155" s="346"/>
      <c r="D155" s="347"/>
      <c r="E155" s="346"/>
      <c r="F155" s="347"/>
      <c r="G155" s="347"/>
      <c r="H155" s="347"/>
      <c r="I155" s="347"/>
      <c r="J155" s="347"/>
      <c r="K155" s="347"/>
      <c r="L155" s="368"/>
      <c r="M155" s="368"/>
      <c r="N155" s="368"/>
      <c r="O155" s="368"/>
      <c r="P155" s="368"/>
    </row>
    <row r="156" spans="1:16">
      <c r="A156" s="345"/>
      <c r="B156" s="344"/>
      <c r="C156" s="346"/>
      <c r="D156" s="347"/>
      <c r="E156" s="346"/>
      <c r="F156" s="347"/>
      <c r="G156" s="347"/>
      <c r="H156" s="347"/>
      <c r="I156" s="347"/>
      <c r="J156" s="347"/>
      <c r="K156" s="347"/>
      <c r="L156" s="368"/>
      <c r="M156" s="368"/>
      <c r="N156" s="368"/>
      <c r="O156" s="368"/>
      <c r="P156" s="368"/>
    </row>
    <row r="157" spans="1:16">
      <c r="A157" s="345"/>
      <c r="B157" s="344"/>
      <c r="C157" s="346"/>
      <c r="D157" s="347"/>
      <c r="E157" s="346"/>
      <c r="F157" s="347"/>
      <c r="G157" s="347"/>
      <c r="H157" s="347"/>
      <c r="I157" s="347"/>
      <c r="J157" s="347"/>
      <c r="K157" s="347"/>
      <c r="L157" s="368"/>
      <c r="M157" s="368"/>
      <c r="N157" s="368"/>
      <c r="O157" s="368"/>
      <c r="P157" s="368"/>
    </row>
    <row r="158" spans="1:16">
      <c r="A158" s="345"/>
      <c r="B158" s="344"/>
      <c r="C158" s="346"/>
      <c r="D158" s="347"/>
      <c r="E158" s="346"/>
      <c r="F158" s="347"/>
      <c r="G158" s="347"/>
      <c r="H158" s="347"/>
      <c r="I158" s="347"/>
      <c r="J158" s="347"/>
      <c r="K158" s="347"/>
      <c r="L158" s="368"/>
      <c r="M158" s="368"/>
      <c r="N158" s="368"/>
      <c r="O158" s="368"/>
      <c r="P158" s="368"/>
    </row>
    <row r="159" spans="1:16">
      <c r="A159" s="345"/>
      <c r="B159" s="344"/>
      <c r="C159" s="346"/>
      <c r="D159" s="347"/>
      <c r="E159" s="346"/>
      <c r="F159" s="347"/>
      <c r="G159" s="347"/>
      <c r="H159" s="347"/>
      <c r="I159" s="347"/>
      <c r="J159" s="347"/>
      <c r="K159" s="347"/>
      <c r="L159" s="368"/>
      <c r="M159" s="368"/>
      <c r="N159" s="368"/>
      <c r="O159" s="368"/>
      <c r="P159" s="368"/>
    </row>
    <row r="160" spans="1:16">
      <c r="A160" s="345"/>
      <c r="B160" s="344"/>
      <c r="C160" s="346"/>
      <c r="D160" s="347"/>
      <c r="E160" s="346"/>
      <c r="F160" s="347"/>
      <c r="G160" s="347"/>
      <c r="H160" s="347"/>
      <c r="I160" s="347"/>
      <c r="J160" s="347"/>
      <c r="K160" s="347"/>
      <c r="L160" s="368"/>
      <c r="M160" s="368"/>
      <c r="N160" s="368"/>
      <c r="O160" s="368"/>
      <c r="P160" s="368"/>
    </row>
    <row r="161" spans="1:16">
      <c r="A161" s="345"/>
      <c r="B161" s="344"/>
      <c r="C161" s="346"/>
      <c r="D161" s="347"/>
      <c r="E161" s="346"/>
      <c r="F161" s="347"/>
      <c r="G161" s="347"/>
      <c r="H161" s="347"/>
      <c r="I161" s="347"/>
      <c r="J161" s="347"/>
      <c r="K161" s="347"/>
      <c r="L161" s="368"/>
      <c r="M161" s="368"/>
      <c r="N161" s="368"/>
      <c r="O161" s="368"/>
      <c r="P161" s="368"/>
    </row>
    <row r="162" spans="1:16">
      <c r="A162" s="345"/>
      <c r="B162" s="344"/>
      <c r="C162" s="346"/>
      <c r="D162" s="347"/>
      <c r="E162" s="346"/>
      <c r="F162" s="347"/>
      <c r="G162" s="347"/>
      <c r="H162" s="347"/>
      <c r="I162" s="347"/>
      <c r="J162" s="347"/>
      <c r="K162" s="347"/>
      <c r="L162" s="368"/>
      <c r="M162" s="368"/>
      <c r="N162" s="368"/>
      <c r="O162" s="368"/>
      <c r="P162" s="368"/>
    </row>
    <row r="163" spans="1:16">
      <c r="A163" s="345"/>
      <c r="B163" s="344"/>
      <c r="C163" s="346"/>
      <c r="D163" s="347"/>
      <c r="E163" s="346"/>
      <c r="F163" s="347"/>
      <c r="G163" s="347"/>
      <c r="H163" s="347"/>
      <c r="I163" s="347"/>
      <c r="J163" s="347"/>
      <c r="K163" s="347"/>
      <c r="L163" s="368"/>
      <c r="M163" s="368"/>
      <c r="N163" s="368"/>
      <c r="O163" s="368"/>
      <c r="P163" s="368"/>
    </row>
    <row r="164" spans="1:16">
      <c r="A164" s="345"/>
      <c r="B164" s="344"/>
      <c r="C164" s="346"/>
      <c r="D164" s="347"/>
      <c r="E164" s="346"/>
      <c r="F164" s="347"/>
      <c r="G164" s="347"/>
      <c r="H164" s="347"/>
      <c r="I164" s="347"/>
      <c r="J164" s="347"/>
      <c r="K164" s="347"/>
      <c r="L164" s="368"/>
      <c r="M164" s="368"/>
      <c r="N164" s="368"/>
      <c r="O164" s="368"/>
      <c r="P164" s="368"/>
    </row>
    <row r="165" spans="1:16">
      <c r="A165" s="345"/>
      <c r="B165" s="344"/>
      <c r="C165" s="346"/>
      <c r="D165" s="347"/>
      <c r="E165" s="346"/>
      <c r="F165" s="347"/>
      <c r="G165" s="347"/>
      <c r="H165" s="347"/>
      <c r="I165" s="347"/>
      <c r="J165" s="347"/>
      <c r="K165" s="347"/>
      <c r="L165" s="368"/>
      <c r="M165" s="368"/>
      <c r="N165" s="368"/>
      <c r="O165" s="368"/>
      <c r="P165" s="368"/>
    </row>
    <row r="166" spans="1:16">
      <c r="A166" s="345"/>
      <c r="B166" s="344"/>
      <c r="C166" s="346"/>
      <c r="D166" s="347"/>
      <c r="E166" s="346"/>
      <c r="F166" s="347"/>
      <c r="G166" s="347"/>
      <c r="H166" s="347"/>
      <c r="I166" s="347"/>
      <c r="J166" s="347"/>
      <c r="K166" s="347"/>
      <c r="L166" s="368"/>
      <c r="M166" s="368"/>
      <c r="N166" s="368"/>
      <c r="O166" s="368"/>
      <c r="P166" s="368"/>
    </row>
    <row r="167" spans="1:16">
      <c r="A167" s="345"/>
      <c r="B167" s="344"/>
      <c r="C167" s="346"/>
      <c r="D167" s="347"/>
      <c r="E167" s="346"/>
      <c r="F167" s="347"/>
      <c r="G167" s="347"/>
      <c r="H167" s="347"/>
      <c r="I167" s="347"/>
      <c r="J167" s="347"/>
      <c r="K167" s="347"/>
      <c r="L167" s="368"/>
      <c r="M167" s="368"/>
      <c r="N167" s="368"/>
      <c r="O167" s="368"/>
      <c r="P167" s="368"/>
    </row>
    <row r="168" spans="1:16">
      <c r="A168" s="345"/>
      <c r="B168" s="344"/>
      <c r="C168" s="346"/>
      <c r="D168" s="347"/>
      <c r="E168" s="346"/>
      <c r="F168" s="347"/>
      <c r="G168" s="347"/>
      <c r="H168" s="347"/>
      <c r="I168" s="347"/>
      <c r="J168" s="347"/>
      <c r="K168" s="347"/>
      <c r="L168" s="368"/>
      <c r="M168" s="368"/>
      <c r="N168" s="368"/>
      <c r="O168" s="368"/>
      <c r="P168" s="368"/>
    </row>
    <row r="169" spans="1:16">
      <c r="A169" s="345"/>
      <c r="B169" s="344"/>
      <c r="C169" s="346"/>
      <c r="D169" s="347"/>
      <c r="E169" s="346"/>
      <c r="F169" s="347"/>
      <c r="G169" s="347"/>
      <c r="H169" s="347"/>
      <c r="I169" s="347"/>
      <c r="J169" s="347"/>
      <c r="K169" s="347"/>
      <c r="L169" s="368"/>
      <c r="M169" s="368"/>
      <c r="N169" s="368"/>
      <c r="O169" s="368"/>
      <c r="P169" s="368"/>
    </row>
    <row r="170" spans="1:16">
      <c r="A170" s="345"/>
      <c r="B170" s="344"/>
      <c r="C170" s="346"/>
      <c r="D170" s="347"/>
      <c r="E170" s="346"/>
      <c r="F170" s="347"/>
      <c r="G170" s="347"/>
      <c r="H170" s="347"/>
      <c r="I170" s="347"/>
      <c r="J170" s="347"/>
      <c r="K170" s="347"/>
      <c r="L170" s="368"/>
      <c r="M170" s="368"/>
      <c r="N170" s="368"/>
      <c r="O170" s="368"/>
      <c r="P170" s="368"/>
    </row>
    <row r="171" spans="1:16">
      <c r="A171" s="345"/>
      <c r="B171" s="344"/>
      <c r="C171" s="346"/>
      <c r="D171" s="347"/>
      <c r="E171" s="346"/>
      <c r="F171" s="347"/>
      <c r="G171" s="347"/>
      <c r="H171" s="347"/>
      <c r="I171" s="347"/>
      <c r="J171" s="347"/>
      <c r="K171" s="347"/>
      <c r="L171" s="368"/>
      <c r="M171" s="368"/>
      <c r="N171" s="368"/>
      <c r="O171" s="368"/>
      <c r="P171" s="368"/>
    </row>
    <row r="172" spans="1:16">
      <c r="A172" s="345"/>
      <c r="B172" s="344"/>
      <c r="C172" s="346"/>
      <c r="D172" s="347"/>
      <c r="E172" s="346"/>
      <c r="F172" s="347"/>
      <c r="G172" s="347"/>
      <c r="H172" s="347"/>
      <c r="I172" s="347"/>
      <c r="J172" s="347"/>
      <c r="K172" s="347"/>
      <c r="L172" s="368"/>
      <c r="M172" s="368"/>
      <c r="N172" s="368"/>
      <c r="O172" s="368"/>
      <c r="P172" s="368"/>
    </row>
    <row r="173" spans="1:16">
      <c r="A173" s="345"/>
      <c r="B173" s="344"/>
      <c r="C173" s="346"/>
      <c r="D173" s="347"/>
      <c r="E173" s="346"/>
      <c r="F173" s="347"/>
      <c r="G173" s="347"/>
      <c r="H173" s="347"/>
      <c r="I173" s="347"/>
      <c r="J173" s="347"/>
      <c r="K173" s="347"/>
      <c r="L173" s="368"/>
      <c r="M173" s="368"/>
      <c r="N173" s="368"/>
      <c r="O173" s="368"/>
      <c r="P173" s="368"/>
    </row>
    <row r="174" spans="1:16">
      <c r="A174" s="345"/>
      <c r="B174" s="344"/>
      <c r="C174" s="346"/>
      <c r="D174" s="347"/>
      <c r="E174" s="346"/>
      <c r="F174" s="347"/>
      <c r="G174" s="347"/>
      <c r="H174" s="347"/>
      <c r="I174" s="347"/>
      <c r="J174" s="347"/>
      <c r="K174" s="347"/>
      <c r="L174" s="368"/>
      <c r="M174" s="368"/>
      <c r="N174" s="368"/>
      <c r="O174" s="368"/>
      <c r="P174" s="368"/>
    </row>
    <row r="175" spans="1:16">
      <c r="A175" s="345"/>
      <c r="B175" s="344"/>
      <c r="C175" s="346"/>
      <c r="D175" s="347"/>
      <c r="E175" s="346"/>
      <c r="F175" s="347"/>
      <c r="G175" s="347"/>
      <c r="H175" s="347"/>
      <c r="I175" s="347"/>
      <c r="J175" s="347"/>
      <c r="K175" s="347"/>
      <c r="L175" s="368"/>
      <c r="M175" s="368"/>
      <c r="N175" s="368"/>
      <c r="O175" s="368"/>
      <c r="P175" s="368"/>
    </row>
    <row r="176" spans="1:16">
      <c r="A176" s="345"/>
      <c r="B176" s="344"/>
      <c r="C176" s="346"/>
      <c r="D176" s="347"/>
      <c r="E176" s="346"/>
      <c r="F176" s="347"/>
      <c r="G176" s="347"/>
      <c r="H176" s="347"/>
      <c r="I176" s="347"/>
      <c r="J176" s="347"/>
      <c r="K176" s="347"/>
      <c r="L176" s="368"/>
      <c r="M176" s="368"/>
      <c r="N176" s="368"/>
      <c r="O176" s="368"/>
      <c r="P176" s="368"/>
    </row>
    <row r="177" spans="1:16">
      <c r="A177" s="345"/>
      <c r="B177" s="344"/>
      <c r="C177" s="346"/>
      <c r="D177" s="347"/>
      <c r="E177" s="346"/>
      <c r="F177" s="347"/>
      <c r="G177" s="347"/>
      <c r="H177" s="347"/>
      <c r="I177" s="347"/>
      <c r="J177" s="347"/>
      <c r="K177" s="347"/>
      <c r="L177" s="368"/>
      <c r="M177" s="368"/>
      <c r="N177" s="368"/>
      <c r="O177" s="368"/>
      <c r="P177" s="368"/>
    </row>
    <row r="178" spans="1:16">
      <c r="A178" s="345"/>
      <c r="B178" s="344"/>
      <c r="C178" s="346"/>
      <c r="D178" s="347"/>
      <c r="E178" s="346"/>
      <c r="F178" s="347"/>
      <c r="G178" s="347"/>
      <c r="H178" s="347"/>
      <c r="I178" s="347"/>
      <c r="J178" s="347"/>
      <c r="K178" s="347"/>
      <c r="L178" s="368"/>
      <c r="M178" s="368"/>
      <c r="N178" s="368"/>
      <c r="O178" s="368"/>
      <c r="P178" s="368"/>
    </row>
    <row r="179" spans="1:16">
      <c r="A179" s="345"/>
      <c r="B179" s="344"/>
      <c r="C179" s="346"/>
      <c r="D179" s="347"/>
      <c r="E179" s="346"/>
      <c r="F179" s="347"/>
      <c r="G179" s="347"/>
      <c r="H179" s="347"/>
      <c r="I179" s="347"/>
      <c r="J179" s="347"/>
      <c r="K179" s="347"/>
      <c r="L179" s="368"/>
      <c r="M179" s="368"/>
      <c r="N179" s="368"/>
      <c r="O179" s="368"/>
      <c r="P179" s="368"/>
    </row>
    <row r="180" spans="1:16">
      <c r="A180" s="345"/>
      <c r="B180" s="344"/>
      <c r="C180" s="346"/>
      <c r="D180" s="347"/>
      <c r="E180" s="346"/>
      <c r="F180" s="347"/>
      <c r="G180" s="347"/>
      <c r="H180" s="347"/>
      <c r="I180" s="347"/>
      <c r="J180" s="347"/>
      <c r="K180" s="347"/>
      <c r="L180" s="368"/>
      <c r="M180" s="368"/>
      <c r="N180" s="368"/>
      <c r="O180" s="368"/>
      <c r="P180" s="368"/>
    </row>
    <row r="181" spans="1:16">
      <c r="A181" s="345"/>
      <c r="B181" s="344"/>
      <c r="C181" s="346"/>
      <c r="D181" s="347"/>
      <c r="E181" s="346"/>
      <c r="F181" s="347"/>
      <c r="G181" s="347"/>
      <c r="H181" s="347"/>
      <c r="I181" s="347"/>
      <c r="J181" s="347"/>
      <c r="K181" s="347"/>
      <c r="L181" s="368"/>
      <c r="M181" s="368"/>
      <c r="N181" s="368"/>
      <c r="O181" s="368"/>
      <c r="P181" s="368"/>
    </row>
    <row r="182" spans="1:16">
      <c r="A182" s="345"/>
      <c r="B182" s="344"/>
      <c r="C182" s="346"/>
      <c r="D182" s="347"/>
      <c r="E182" s="346"/>
      <c r="F182" s="347"/>
      <c r="G182" s="347"/>
      <c r="H182" s="347"/>
      <c r="I182" s="347"/>
      <c r="J182" s="347"/>
      <c r="K182" s="347"/>
      <c r="L182" s="368"/>
      <c r="M182" s="368"/>
      <c r="N182" s="368"/>
      <c r="O182" s="368"/>
      <c r="P182" s="368"/>
    </row>
    <row r="183" spans="1:16">
      <c r="A183" s="345"/>
      <c r="B183" s="344"/>
      <c r="C183" s="346"/>
      <c r="D183" s="347"/>
      <c r="E183" s="346"/>
      <c r="F183" s="347"/>
      <c r="G183" s="347"/>
      <c r="H183" s="347"/>
      <c r="I183" s="347"/>
      <c r="J183" s="347"/>
      <c r="K183" s="347"/>
      <c r="L183" s="368"/>
      <c r="M183" s="368"/>
      <c r="N183" s="368"/>
      <c r="O183" s="368"/>
      <c r="P183" s="368"/>
    </row>
    <row r="184" spans="1:16">
      <c r="A184" s="345"/>
      <c r="B184" s="344"/>
      <c r="C184" s="346"/>
      <c r="D184" s="347"/>
      <c r="E184" s="346"/>
      <c r="F184" s="347"/>
      <c r="G184" s="347"/>
      <c r="H184" s="347"/>
      <c r="I184" s="347"/>
      <c r="J184" s="347"/>
      <c r="K184" s="347"/>
      <c r="L184" s="368"/>
      <c r="M184" s="368"/>
      <c r="N184" s="368"/>
      <c r="O184" s="368"/>
      <c r="P184" s="368"/>
    </row>
    <row r="185" spans="1:16">
      <c r="A185" s="345"/>
      <c r="B185" s="344"/>
      <c r="C185" s="346"/>
      <c r="D185" s="347"/>
      <c r="E185" s="346"/>
      <c r="F185" s="347"/>
      <c r="G185" s="347"/>
      <c r="H185" s="347"/>
      <c r="I185" s="347"/>
      <c r="J185" s="347"/>
      <c r="K185" s="347"/>
      <c r="L185" s="368"/>
      <c r="M185" s="368"/>
      <c r="N185" s="368"/>
      <c r="O185" s="368"/>
      <c r="P185" s="368"/>
    </row>
    <row r="186" spans="1:16">
      <c r="A186" s="345"/>
      <c r="B186" s="344"/>
      <c r="C186" s="346"/>
      <c r="D186" s="347"/>
      <c r="E186" s="346"/>
      <c r="F186" s="347"/>
      <c r="G186" s="347"/>
      <c r="H186" s="347"/>
      <c r="I186" s="347"/>
      <c r="J186" s="347"/>
      <c r="K186" s="347"/>
      <c r="L186" s="368"/>
      <c r="M186" s="368"/>
      <c r="N186" s="368"/>
      <c r="O186" s="368"/>
      <c r="P186" s="368"/>
    </row>
    <row r="187" spans="1:16">
      <c r="A187" s="345"/>
      <c r="B187" s="344"/>
      <c r="C187" s="346"/>
      <c r="D187" s="347"/>
      <c r="E187" s="346"/>
      <c r="F187" s="347"/>
      <c r="G187" s="347"/>
      <c r="H187" s="347"/>
      <c r="I187" s="347"/>
      <c r="J187" s="347"/>
      <c r="K187" s="347"/>
      <c r="L187" s="368"/>
      <c r="M187" s="368"/>
      <c r="N187" s="368"/>
      <c r="O187" s="368"/>
      <c r="P187" s="368"/>
    </row>
    <row r="188" spans="1:16">
      <c r="A188" s="345"/>
      <c r="B188" s="344"/>
      <c r="C188" s="346"/>
      <c r="D188" s="347"/>
      <c r="E188" s="346"/>
      <c r="F188" s="347"/>
      <c r="G188" s="347"/>
      <c r="H188" s="347"/>
      <c r="I188" s="347"/>
      <c r="J188" s="347"/>
      <c r="K188" s="347"/>
      <c r="L188" s="368"/>
      <c r="M188" s="368"/>
      <c r="N188" s="368"/>
      <c r="O188" s="368"/>
      <c r="P188" s="368"/>
    </row>
    <row r="189" spans="1:16">
      <c r="A189" s="345"/>
      <c r="B189" s="344"/>
      <c r="C189" s="346"/>
      <c r="D189" s="347"/>
      <c r="E189" s="346"/>
      <c r="F189" s="347"/>
      <c r="G189" s="347"/>
      <c r="H189" s="347"/>
      <c r="I189" s="347"/>
      <c r="J189" s="347"/>
      <c r="K189" s="347"/>
      <c r="L189" s="368"/>
      <c r="M189" s="368"/>
      <c r="N189" s="368"/>
      <c r="O189" s="368"/>
      <c r="P189" s="368"/>
    </row>
    <row r="190" spans="1:16">
      <c r="A190" s="345"/>
      <c r="B190" s="344"/>
      <c r="C190" s="346"/>
      <c r="D190" s="347"/>
      <c r="E190" s="346"/>
      <c r="F190" s="347"/>
      <c r="G190" s="347"/>
      <c r="H190" s="347"/>
      <c r="I190" s="347"/>
      <c r="J190" s="347"/>
      <c r="K190" s="347"/>
      <c r="L190" s="368"/>
      <c r="M190" s="368"/>
      <c r="N190" s="368"/>
      <c r="O190" s="368"/>
      <c r="P190" s="368"/>
    </row>
    <row r="191" spans="1:16">
      <c r="A191" s="345"/>
      <c r="B191" s="344"/>
      <c r="C191" s="346"/>
      <c r="D191" s="347"/>
      <c r="E191" s="346"/>
      <c r="F191" s="347"/>
      <c r="G191" s="347"/>
      <c r="H191" s="347"/>
      <c r="I191" s="347"/>
      <c r="J191" s="347"/>
      <c r="K191" s="347"/>
      <c r="L191" s="368"/>
      <c r="M191" s="368"/>
      <c r="N191" s="368"/>
      <c r="O191" s="368"/>
      <c r="P191" s="368"/>
    </row>
    <row r="192" spans="1:16">
      <c r="A192" s="345"/>
      <c r="B192" s="344"/>
      <c r="C192" s="346"/>
      <c r="D192" s="347"/>
      <c r="E192" s="346"/>
      <c r="F192" s="347"/>
      <c r="G192" s="347"/>
      <c r="H192" s="347"/>
      <c r="I192" s="347"/>
      <c r="J192" s="347"/>
      <c r="K192" s="347"/>
      <c r="L192" s="368"/>
      <c r="M192" s="368"/>
      <c r="N192" s="368"/>
      <c r="O192" s="368"/>
      <c r="P192" s="368"/>
    </row>
    <row r="193" spans="1:16">
      <c r="A193" s="345"/>
      <c r="B193" s="344"/>
      <c r="C193" s="346"/>
      <c r="D193" s="347"/>
      <c r="E193" s="346"/>
      <c r="F193" s="347"/>
      <c r="G193" s="347"/>
      <c r="H193" s="347"/>
      <c r="I193" s="347"/>
      <c r="J193" s="347"/>
      <c r="K193" s="347"/>
      <c r="L193" s="368"/>
      <c r="M193" s="368"/>
      <c r="N193" s="368"/>
      <c r="O193" s="368"/>
      <c r="P193" s="368"/>
    </row>
    <row r="194" spans="1:16">
      <c r="A194" s="345"/>
      <c r="B194" s="344"/>
      <c r="C194" s="346"/>
      <c r="D194" s="347"/>
      <c r="E194" s="346"/>
      <c r="F194" s="347"/>
      <c r="G194" s="347"/>
      <c r="H194" s="347"/>
      <c r="I194" s="347"/>
      <c r="J194" s="347"/>
      <c r="K194" s="347"/>
      <c r="L194" s="368"/>
      <c r="M194" s="368"/>
      <c r="N194" s="368"/>
      <c r="O194" s="368"/>
      <c r="P194" s="368"/>
    </row>
    <row r="195" spans="1:16">
      <c r="A195" s="345"/>
      <c r="B195" s="344"/>
      <c r="C195" s="346"/>
      <c r="D195" s="347"/>
      <c r="E195" s="346"/>
      <c r="F195" s="347"/>
      <c r="G195" s="347"/>
      <c r="H195" s="347"/>
      <c r="I195" s="347"/>
      <c r="J195" s="347"/>
      <c r="K195" s="347"/>
      <c r="L195" s="368"/>
      <c r="M195" s="368"/>
      <c r="N195" s="368"/>
      <c r="O195" s="368"/>
      <c r="P195" s="368"/>
    </row>
    <row r="196" spans="1:16">
      <c r="A196" s="345"/>
      <c r="B196" s="344"/>
      <c r="C196" s="346"/>
      <c r="D196" s="347"/>
      <c r="E196" s="346"/>
      <c r="F196" s="347"/>
      <c r="G196" s="347"/>
      <c r="H196" s="347"/>
      <c r="I196" s="347"/>
      <c r="J196" s="347"/>
      <c r="K196" s="347"/>
      <c r="L196" s="368"/>
      <c r="M196" s="368"/>
      <c r="N196" s="368"/>
      <c r="O196" s="368"/>
      <c r="P196" s="368"/>
    </row>
    <row r="197" spans="1:16">
      <c r="A197" s="345"/>
      <c r="B197" s="344"/>
      <c r="C197" s="346"/>
      <c r="D197" s="347"/>
      <c r="E197" s="346"/>
      <c r="F197" s="347"/>
      <c r="G197" s="347"/>
      <c r="H197" s="347"/>
      <c r="I197" s="347"/>
      <c r="J197" s="347"/>
      <c r="K197" s="347"/>
      <c r="L197" s="368"/>
      <c r="M197" s="368"/>
      <c r="N197" s="368"/>
      <c r="O197" s="368"/>
      <c r="P197" s="368"/>
    </row>
    <row r="198" spans="1:16">
      <c r="A198" s="345"/>
      <c r="B198" s="344"/>
      <c r="C198" s="346"/>
      <c r="D198" s="347"/>
      <c r="E198" s="346"/>
      <c r="F198" s="347"/>
      <c r="G198" s="347"/>
      <c r="H198" s="347"/>
      <c r="I198" s="347"/>
      <c r="J198" s="347"/>
      <c r="K198" s="347"/>
      <c r="L198" s="368"/>
      <c r="M198" s="368"/>
      <c r="N198" s="368"/>
      <c r="O198" s="368"/>
      <c r="P198" s="368"/>
    </row>
    <row r="199" spans="1:16">
      <c r="A199" s="345"/>
      <c r="B199" s="344"/>
      <c r="C199" s="346"/>
      <c r="D199" s="347"/>
      <c r="E199" s="346"/>
      <c r="F199" s="347"/>
      <c r="G199" s="347"/>
      <c r="H199" s="347"/>
      <c r="I199" s="347"/>
      <c r="J199" s="347"/>
      <c r="K199" s="347"/>
      <c r="L199" s="368"/>
      <c r="M199" s="368"/>
      <c r="N199" s="368"/>
      <c r="O199" s="368"/>
      <c r="P199" s="368"/>
    </row>
    <row r="200" spans="1:16">
      <c r="A200" s="345"/>
      <c r="B200" s="344"/>
      <c r="C200" s="346"/>
      <c r="D200" s="347"/>
      <c r="E200" s="346"/>
      <c r="F200" s="347"/>
      <c r="G200" s="347"/>
      <c r="H200" s="347"/>
      <c r="I200" s="347"/>
      <c r="J200" s="347"/>
      <c r="K200" s="347"/>
      <c r="L200" s="368"/>
      <c r="M200" s="368"/>
      <c r="N200" s="368"/>
      <c r="O200" s="368"/>
      <c r="P200" s="368"/>
    </row>
    <row r="201" spans="1:16">
      <c r="A201" s="345"/>
      <c r="B201" s="344"/>
      <c r="C201" s="346"/>
      <c r="D201" s="347"/>
      <c r="E201" s="346"/>
      <c r="F201" s="347"/>
      <c r="G201" s="347"/>
      <c r="H201" s="347"/>
      <c r="I201" s="347"/>
      <c r="J201" s="347"/>
      <c r="K201" s="347"/>
      <c r="L201" s="368"/>
      <c r="M201" s="368"/>
      <c r="N201" s="368"/>
      <c r="O201" s="368"/>
      <c r="P201" s="368"/>
    </row>
    <row r="202" spans="1:16">
      <c r="A202" s="345"/>
      <c r="B202" s="344"/>
      <c r="C202" s="346"/>
      <c r="D202" s="347"/>
      <c r="E202" s="346"/>
      <c r="F202" s="347"/>
      <c r="G202" s="347"/>
      <c r="H202" s="347"/>
      <c r="I202" s="347"/>
      <c r="J202" s="347"/>
      <c r="K202" s="347"/>
      <c r="L202" s="368"/>
      <c r="M202" s="368"/>
      <c r="N202" s="368"/>
      <c r="O202" s="368"/>
      <c r="P202" s="368"/>
    </row>
    <row r="203" spans="1:16">
      <c r="A203" s="345"/>
      <c r="B203" s="344"/>
      <c r="C203" s="346"/>
      <c r="D203" s="347"/>
      <c r="E203" s="346"/>
      <c r="F203" s="347"/>
      <c r="G203" s="347"/>
      <c r="H203" s="347"/>
      <c r="I203" s="347"/>
      <c r="J203" s="347"/>
      <c r="K203" s="347"/>
      <c r="L203" s="368"/>
      <c r="M203" s="368"/>
      <c r="N203" s="368"/>
      <c r="O203" s="368"/>
      <c r="P203" s="368"/>
    </row>
    <row r="204" spans="1:16">
      <c r="A204" s="345"/>
      <c r="B204" s="344"/>
      <c r="C204" s="346"/>
      <c r="D204" s="347"/>
      <c r="E204" s="346"/>
      <c r="F204" s="347"/>
      <c r="G204" s="347"/>
      <c r="H204" s="347"/>
      <c r="I204" s="347"/>
      <c r="J204" s="347"/>
      <c r="K204" s="347"/>
      <c r="L204" s="368"/>
      <c r="M204" s="368"/>
      <c r="N204" s="368"/>
      <c r="O204" s="368"/>
      <c r="P204" s="368"/>
    </row>
    <row r="205" spans="1:16">
      <c r="A205" s="345"/>
      <c r="B205" s="344"/>
      <c r="C205" s="346"/>
      <c r="D205" s="347"/>
      <c r="E205" s="346"/>
      <c r="F205" s="347"/>
      <c r="G205" s="347"/>
      <c r="H205" s="347"/>
      <c r="I205" s="347"/>
      <c r="J205" s="347"/>
      <c r="K205" s="347"/>
      <c r="L205" s="368"/>
      <c r="M205" s="368"/>
      <c r="N205" s="368"/>
      <c r="O205" s="368"/>
      <c r="P205" s="368"/>
    </row>
    <row r="206" spans="1:16">
      <c r="A206" s="345"/>
      <c r="B206" s="344"/>
      <c r="C206" s="346"/>
      <c r="D206" s="347"/>
      <c r="E206" s="346"/>
      <c r="F206" s="347"/>
      <c r="G206" s="347"/>
      <c r="H206" s="347"/>
      <c r="I206" s="347"/>
      <c r="J206" s="347"/>
      <c r="K206" s="347"/>
      <c r="L206" s="368"/>
      <c r="M206" s="368"/>
      <c r="N206" s="368"/>
      <c r="O206" s="368"/>
      <c r="P206" s="368"/>
    </row>
    <row r="207" spans="1:16">
      <c r="A207" s="345"/>
      <c r="B207" s="344"/>
      <c r="C207" s="346"/>
      <c r="D207" s="347"/>
      <c r="E207" s="346"/>
      <c r="F207" s="347"/>
      <c r="G207" s="347"/>
      <c r="H207" s="347"/>
      <c r="I207" s="347"/>
      <c r="J207" s="347"/>
      <c r="K207" s="347"/>
      <c r="L207" s="368"/>
      <c r="M207" s="368"/>
      <c r="N207" s="368"/>
      <c r="O207" s="368"/>
      <c r="P207" s="368"/>
    </row>
    <row r="208" spans="1:16">
      <c r="A208" s="345"/>
      <c r="B208" s="344"/>
      <c r="C208" s="346"/>
      <c r="D208" s="347"/>
      <c r="E208" s="346"/>
      <c r="F208" s="347"/>
      <c r="G208" s="347"/>
      <c r="H208" s="347"/>
      <c r="I208" s="347"/>
      <c r="J208" s="347"/>
      <c r="K208" s="347"/>
      <c r="L208" s="368"/>
      <c r="M208" s="368"/>
      <c r="N208" s="368"/>
      <c r="O208" s="368"/>
      <c r="P208" s="368"/>
    </row>
    <row r="209" spans="1:16">
      <c r="A209" s="345"/>
      <c r="B209" s="344"/>
      <c r="C209" s="346"/>
      <c r="D209" s="347"/>
      <c r="E209" s="346"/>
      <c r="F209" s="347"/>
      <c r="G209" s="347"/>
      <c r="H209" s="347"/>
      <c r="I209" s="347"/>
      <c r="J209" s="347"/>
      <c r="K209" s="347"/>
      <c r="L209" s="368"/>
      <c r="M209" s="368"/>
      <c r="N209" s="368"/>
      <c r="O209" s="368"/>
      <c r="P209" s="368"/>
    </row>
    <row r="210" spans="1:16">
      <c r="A210" s="345"/>
      <c r="B210" s="344"/>
      <c r="C210" s="346"/>
      <c r="D210" s="347"/>
      <c r="E210" s="346"/>
      <c r="F210" s="347"/>
      <c r="G210" s="347"/>
      <c r="H210" s="347"/>
      <c r="I210" s="347"/>
      <c r="J210" s="347"/>
      <c r="K210" s="347"/>
      <c r="L210" s="368"/>
      <c r="M210" s="368"/>
      <c r="N210" s="368"/>
      <c r="O210" s="368"/>
      <c r="P210" s="368"/>
    </row>
    <row r="211" spans="1:16">
      <c r="A211" s="345"/>
      <c r="B211" s="344"/>
      <c r="C211" s="346"/>
      <c r="D211" s="347"/>
      <c r="E211" s="346"/>
      <c r="F211" s="347"/>
      <c r="G211" s="347"/>
      <c r="H211" s="347"/>
      <c r="I211" s="347"/>
      <c r="J211" s="347"/>
      <c r="K211" s="347"/>
      <c r="L211" s="368"/>
      <c r="M211" s="368"/>
      <c r="N211" s="368"/>
      <c r="O211" s="368"/>
      <c r="P211" s="368"/>
    </row>
    <row r="212" spans="1:16">
      <c r="A212" s="345"/>
      <c r="B212" s="344"/>
      <c r="C212" s="346"/>
      <c r="D212" s="347"/>
      <c r="E212" s="346"/>
      <c r="F212" s="347"/>
      <c r="G212" s="347"/>
      <c r="H212" s="347"/>
      <c r="I212" s="347"/>
      <c r="J212" s="347"/>
      <c r="K212" s="347"/>
      <c r="L212" s="368"/>
      <c r="M212" s="368"/>
      <c r="N212" s="368"/>
      <c r="O212" s="368"/>
      <c r="P212" s="368"/>
    </row>
    <row r="213" spans="1:16">
      <c r="A213" s="345"/>
      <c r="B213" s="344"/>
      <c r="C213" s="346"/>
      <c r="D213" s="347"/>
      <c r="E213" s="346"/>
      <c r="F213" s="347"/>
      <c r="G213" s="347"/>
      <c r="H213" s="347"/>
      <c r="I213" s="347"/>
      <c r="J213" s="347"/>
      <c r="K213" s="347"/>
      <c r="L213" s="368"/>
      <c r="M213" s="368"/>
      <c r="N213" s="368"/>
      <c r="O213" s="368"/>
      <c r="P213" s="368"/>
    </row>
    <row r="214" spans="1:16">
      <c r="A214" s="345"/>
      <c r="B214" s="344"/>
      <c r="C214" s="346"/>
      <c r="D214" s="347"/>
      <c r="E214" s="346"/>
      <c r="F214" s="347"/>
      <c r="G214" s="347"/>
      <c r="H214" s="347"/>
      <c r="I214" s="347"/>
      <c r="J214" s="347"/>
      <c r="K214" s="347"/>
      <c r="L214" s="368"/>
      <c r="M214" s="368"/>
      <c r="N214" s="368"/>
      <c r="O214" s="368"/>
      <c r="P214" s="368"/>
    </row>
    <row r="215" spans="1:16">
      <c r="A215" s="345"/>
      <c r="B215" s="344"/>
      <c r="C215" s="346"/>
      <c r="D215" s="347"/>
      <c r="E215" s="346"/>
      <c r="F215" s="347"/>
      <c r="G215" s="347"/>
      <c r="H215" s="347"/>
      <c r="I215" s="347"/>
      <c r="J215" s="347"/>
      <c r="K215" s="347"/>
      <c r="L215" s="368"/>
      <c r="M215" s="368"/>
      <c r="N215" s="368"/>
      <c r="O215" s="368"/>
      <c r="P215" s="368"/>
    </row>
    <row r="216" spans="1:16">
      <c r="A216" s="345"/>
      <c r="B216" s="344"/>
      <c r="C216" s="346"/>
      <c r="D216" s="347"/>
      <c r="E216" s="346"/>
      <c r="F216" s="347"/>
      <c r="G216" s="347"/>
      <c r="H216" s="347"/>
      <c r="I216" s="347"/>
      <c r="J216" s="347"/>
      <c r="K216" s="347"/>
      <c r="L216" s="368"/>
      <c r="M216" s="368"/>
      <c r="N216" s="368"/>
      <c r="O216" s="368"/>
      <c r="P216" s="368"/>
    </row>
    <row r="217" spans="1:16">
      <c r="A217" s="345"/>
      <c r="B217" s="344"/>
      <c r="C217" s="346"/>
      <c r="D217" s="347"/>
      <c r="E217" s="346"/>
      <c r="F217" s="347"/>
      <c r="G217" s="347"/>
      <c r="H217" s="347"/>
      <c r="I217" s="347"/>
      <c r="J217" s="347"/>
      <c r="K217" s="347"/>
      <c r="L217" s="368"/>
      <c r="M217" s="368"/>
      <c r="N217" s="368"/>
      <c r="O217" s="368"/>
      <c r="P217" s="368"/>
    </row>
    <row r="218" spans="1:16">
      <c r="A218" s="345"/>
      <c r="B218" s="344"/>
      <c r="C218" s="346"/>
      <c r="D218" s="347"/>
      <c r="E218" s="346"/>
      <c r="F218" s="347"/>
      <c r="G218" s="347"/>
      <c r="H218" s="347"/>
      <c r="I218" s="347"/>
      <c r="J218" s="347"/>
      <c r="K218" s="347"/>
      <c r="L218" s="368"/>
      <c r="M218" s="368"/>
      <c r="N218" s="368"/>
      <c r="O218" s="368"/>
      <c r="P218" s="368"/>
    </row>
    <row r="219" spans="1:16">
      <c r="A219" s="345"/>
      <c r="B219" s="344"/>
      <c r="C219" s="346"/>
      <c r="D219" s="347"/>
      <c r="E219" s="346"/>
      <c r="F219" s="347"/>
      <c r="G219" s="347"/>
      <c r="H219" s="347"/>
      <c r="I219" s="347"/>
      <c r="J219" s="347"/>
      <c r="K219" s="347"/>
      <c r="L219" s="368"/>
      <c r="M219" s="368"/>
      <c r="N219" s="368"/>
      <c r="O219" s="368"/>
      <c r="P219" s="368"/>
    </row>
    <row r="220" spans="1:16">
      <c r="A220" s="345"/>
      <c r="B220" s="344"/>
      <c r="C220" s="346"/>
      <c r="D220" s="347"/>
      <c r="E220" s="346"/>
      <c r="F220" s="347"/>
      <c r="G220" s="347"/>
      <c r="H220" s="347"/>
      <c r="I220" s="347"/>
      <c r="J220" s="347"/>
      <c r="K220" s="347"/>
      <c r="L220" s="368"/>
      <c r="M220" s="368"/>
      <c r="N220" s="368"/>
      <c r="O220" s="368"/>
      <c r="P220" s="368"/>
    </row>
    <row r="221" spans="1:16">
      <c r="A221" s="345"/>
      <c r="B221" s="344"/>
      <c r="C221" s="346"/>
      <c r="D221" s="347"/>
      <c r="E221" s="346"/>
      <c r="F221" s="347"/>
      <c r="G221" s="347"/>
      <c r="H221" s="347"/>
      <c r="I221" s="347"/>
      <c r="J221" s="347"/>
      <c r="K221" s="347"/>
      <c r="L221" s="368"/>
      <c r="M221" s="368"/>
      <c r="N221" s="368"/>
      <c r="O221" s="368"/>
      <c r="P221" s="368"/>
    </row>
    <row r="222" spans="1:16">
      <c r="A222" s="345"/>
      <c r="B222" s="344"/>
      <c r="C222" s="346"/>
      <c r="D222" s="347"/>
      <c r="E222" s="346"/>
      <c r="F222" s="347"/>
      <c r="G222" s="347"/>
      <c r="H222" s="347"/>
      <c r="I222" s="347"/>
      <c r="J222" s="347"/>
      <c r="K222" s="347"/>
      <c r="L222" s="368"/>
      <c r="M222" s="368"/>
      <c r="N222" s="368"/>
      <c r="O222" s="368"/>
      <c r="P222" s="368"/>
    </row>
    <row r="223" spans="1:16">
      <c r="A223" s="345"/>
      <c r="B223" s="344"/>
      <c r="C223" s="346"/>
      <c r="D223" s="347"/>
      <c r="E223" s="346"/>
      <c r="F223" s="347"/>
      <c r="G223" s="347"/>
      <c r="H223" s="347"/>
      <c r="I223" s="347"/>
      <c r="J223" s="347"/>
      <c r="K223" s="347"/>
      <c r="L223" s="368"/>
      <c r="M223" s="368"/>
      <c r="N223" s="368"/>
      <c r="O223" s="368"/>
      <c r="P223" s="368"/>
    </row>
    <row r="224" spans="1:16">
      <c r="A224" s="345"/>
      <c r="B224" s="344"/>
      <c r="C224" s="346"/>
      <c r="D224" s="347"/>
      <c r="E224" s="346"/>
      <c r="F224" s="347"/>
      <c r="G224" s="347"/>
      <c r="H224" s="347"/>
      <c r="I224" s="347"/>
      <c r="J224" s="347"/>
      <c r="K224" s="347"/>
      <c r="L224" s="368"/>
      <c r="M224" s="368"/>
      <c r="N224" s="368"/>
      <c r="O224" s="368"/>
      <c r="P224" s="368"/>
    </row>
    <row r="225" spans="1:16">
      <c r="A225" s="345"/>
      <c r="B225" s="344"/>
      <c r="C225" s="346"/>
      <c r="D225" s="347"/>
      <c r="E225" s="346"/>
      <c r="F225" s="347"/>
      <c r="G225" s="347"/>
      <c r="H225" s="347"/>
      <c r="I225" s="347"/>
      <c r="J225" s="347"/>
      <c r="K225" s="347"/>
      <c r="L225" s="368"/>
      <c r="M225" s="368"/>
      <c r="N225" s="368"/>
      <c r="O225" s="368"/>
      <c r="P225" s="368"/>
    </row>
    <row r="226" spans="1:16">
      <c r="A226" s="345"/>
      <c r="B226" s="344"/>
      <c r="C226" s="346"/>
      <c r="D226" s="347"/>
      <c r="E226" s="346"/>
      <c r="F226" s="347"/>
      <c r="G226" s="347"/>
      <c r="H226" s="347"/>
      <c r="I226" s="347"/>
      <c r="J226" s="347"/>
      <c r="K226" s="347"/>
      <c r="L226" s="368"/>
      <c r="M226" s="368"/>
      <c r="N226" s="368"/>
      <c r="O226" s="368"/>
      <c r="P226" s="368"/>
    </row>
    <row r="227" spans="1:16">
      <c r="A227" s="345"/>
      <c r="B227" s="344"/>
      <c r="C227" s="346"/>
      <c r="D227" s="347"/>
      <c r="E227" s="346"/>
      <c r="F227" s="347"/>
      <c r="G227" s="347"/>
      <c r="H227" s="347"/>
      <c r="I227" s="347"/>
      <c r="J227" s="347"/>
      <c r="K227" s="347"/>
      <c r="L227" s="368"/>
      <c r="M227" s="368"/>
      <c r="N227" s="368"/>
      <c r="O227" s="368"/>
      <c r="P227" s="368"/>
    </row>
    <row r="228" spans="1:16">
      <c r="A228" s="345"/>
      <c r="B228" s="344"/>
      <c r="C228" s="346"/>
      <c r="D228" s="347"/>
      <c r="E228" s="346"/>
      <c r="F228" s="347"/>
      <c r="G228" s="347"/>
      <c r="H228" s="347"/>
      <c r="I228" s="347"/>
      <c r="J228" s="347"/>
      <c r="K228" s="347"/>
      <c r="L228" s="368"/>
      <c r="M228" s="368"/>
      <c r="N228" s="368"/>
      <c r="O228" s="368"/>
      <c r="P228" s="368"/>
    </row>
    <row r="229" spans="1:16">
      <c r="A229" s="345"/>
      <c r="B229" s="344"/>
      <c r="C229" s="346"/>
      <c r="D229" s="347"/>
      <c r="E229" s="346"/>
      <c r="F229" s="347"/>
      <c r="G229" s="347"/>
      <c r="H229" s="347"/>
      <c r="I229" s="347"/>
      <c r="J229" s="347"/>
      <c r="K229" s="347"/>
      <c r="L229" s="368"/>
      <c r="M229" s="368"/>
      <c r="N229" s="368"/>
      <c r="O229" s="368"/>
      <c r="P229" s="368"/>
    </row>
    <row r="230" spans="1:16">
      <c r="A230" s="345"/>
      <c r="B230" s="344"/>
      <c r="C230" s="346"/>
      <c r="D230" s="347"/>
      <c r="E230" s="346"/>
      <c r="F230" s="347"/>
      <c r="G230" s="347"/>
      <c r="H230" s="347"/>
      <c r="I230" s="347"/>
      <c r="J230" s="347"/>
      <c r="K230" s="347"/>
      <c r="L230" s="368"/>
      <c r="M230" s="368"/>
      <c r="N230" s="368"/>
      <c r="O230" s="368"/>
      <c r="P230" s="368"/>
    </row>
    <row r="231" spans="1:16">
      <c r="A231" s="345"/>
      <c r="B231" s="344"/>
      <c r="C231" s="346"/>
      <c r="D231" s="347"/>
      <c r="E231" s="346"/>
      <c r="F231" s="347"/>
      <c r="G231" s="347"/>
      <c r="H231" s="347"/>
      <c r="I231" s="347"/>
      <c r="J231" s="347"/>
      <c r="K231" s="347"/>
      <c r="L231" s="368"/>
      <c r="M231" s="368"/>
      <c r="N231" s="368"/>
      <c r="O231" s="368"/>
      <c r="P231" s="368"/>
    </row>
    <row r="232" spans="1:16">
      <c r="A232" s="345"/>
      <c r="B232" s="344"/>
      <c r="C232" s="346"/>
      <c r="D232" s="347"/>
      <c r="E232" s="346"/>
      <c r="F232" s="347"/>
      <c r="G232" s="347"/>
      <c r="H232" s="347"/>
      <c r="I232" s="347"/>
      <c r="J232" s="347"/>
      <c r="K232" s="347"/>
      <c r="L232" s="368"/>
      <c r="M232" s="368"/>
      <c r="N232" s="368"/>
      <c r="O232" s="368"/>
      <c r="P232" s="368"/>
    </row>
    <row r="233" spans="1:16">
      <c r="A233" s="345"/>
      <c r="B233" s="344"/>
      <c r="C233" s="346"/>
      <c r="D233" s="347"/>
      <c r="E233" s="346"/>
      <c r="F233" s="347"/>
      <c r="G233" s="347"/>
      <c r="H233" s="347"/>
      <c r="I233" s="347"/>
      <c r="J233" s="347"/>
      <c r="K233" s="347"/>
      <c r="L233" s="368"/>
      <c r="M233" s="368"/>
      <c r="N233" s="368"/>
      <c r="O233" s="368"/>
      <c r="P233" s="368"/>
    </row>
    <row r="234" spans="1:16">
      <c r="A234" s="345"/>
      <c r="B234" s="344"/>
      <c r="C234" s="346"/>
      <c r="D234" s="347"/>
      <c r="E234" s="346"/>
      <c r="F234" s="347"/>
      <c r="G234" s="347"/>
      <c r="H234" s="347"/>
      <c r="I234" s="347"/>
      <c r="J234" s="347"/>
      <c r="K234" s="347"/>
      <c r="L234" s="368"/>
      <c r="M234" s="368"/>
      <c r="N234" s="368"/>
      <c r="O234" s="368"/>
      <c r="P234" s="368"/>
    </row>
    <row r="235" spans="1:16">
      <c r="A235" s="345"/>
      <c r="B235" s="344"/>
      <c r="C235" s="346"/>
      <c r="D235" s="347"/>
      <c r="E235" s="346"/>
      <c r="F235" s="347"/>
      <c r="G235" s="347"/>
      <c r="H235" s="347"/>
      <c r="I235" s="347"/>
      <c r="J235" s="347"/>
      <c r="K235" s="347"/>
      <c r="L235" s="368"/>
      <c r="M235" s="368"/>
      <c r="N235" s="368"/>
      <c r="O235" s="368"/>
      <c r="P235" s="368"/>
    </row>
    <row r="236" spans="1:16">
      <c r="A236" s="345"/>
      <c r="B236" s="344"/>
      <c r="C236" s="346"/>
      <c r="D236" s="347"/>
      <c r="E236" s="346"/>
      <c r="F236" s="347"/>
      <c r="G236" s="347"/>
      <c r="H236" s="347"/>
      <c r="I236" s="347"/>
      <c r="J236" s="347"/>
      <c r="K236" s="347"/>
      <c r="L236" s="368"/>
      <c r="M236" s="368"/>
      <c r="N236" s="368"/>
      <c r="O236" s="368"/>
      <c r="P236" s="368"/>
    </row>
    <row r="237" spans="1:16">
      <c r="A237" s="345"/>
      <c r="B237" s="344"/>
      <c r="C237" s="346"/>
      <c r="D237" s="347"/>
      <c r="E237" s="346"/>
      <c r="F237" s="347"/>
      <c r="G237" s="347"/>
      <c r="H237" s="347"/>
      <c r="I237" s="347"/>
      <c r="J237" s="347"/>
      <c r="K237" s="347"/>
      <c r="L237" s="368"/>
      <c r="M237" s="368"/>
      <c r="N237" s="368"/>
      <c r="O237" s="368"/>
      <c r="P237" s="368"/>
    </row>
    <row r="238" spans="1:16">
      <c r="A238" s="345"/>
      <c r="B238" s="344"/>
      <c r="C238" s="346"/>
      <c r="D238" s="347"/>
      <c r="E238" s="346"/>
      <c r="F238" s="347"/>
      <c r="G238" s="347"/>
      <c r="H238" s="347"/>
      <c r="I238" s="347"/>
      <c r="J238" s="347"/>
      <c r="K238" s="347"/>
      <c r="L238" s="368"/>
      <c r="M238" s="368"/>
      <c r="N238" s="368"/>
      <c r="O238" s="368"/>
      <c r="P238" s="368"/>
    </row>
    <row r="239" spans="1:16">
      <c r="A239" s="345"/>
      <c r="B239" s="344"/>
      <c r="C239" s="346"/>
      <c r="D239" s="347"/>
      <c r="E239" s="346"/>
      <c r="F239" s="347"/>
      <c r="G239" s="347"/>
      <c r="H239" s="347"/>
      <c r="I239" s="347"/>
      <c r="J239" s="347"/>
      <c r="K239" s="347"/>
      <c r="L239" s="368"/>
      <c r="M239" s="368"/>
      <c r="N239" s="368"/>
      <c r="O239" s="368"/>
      <c r="P239" s="368"/>
    </row>
    <row r="240" spans="1:16">
      <c r="A240" s="345"/>
      <c r="B240" s="344"/>
      <c r="C240" s="346"/>
      <c r="D240" s="347"/>
      <c r="E240" s="346"/>
      <c r="F240" s="347"/>
      <c r="G240" s="347"/>
      <c r="H240" s="347"/>
      <c r="I240" s="347"/>
      <c r="J240" s="347"/>
      <c r="K240" s="347"/>
      <c r="L240" s="368"/>
      <c r="M240" s="368"/>
      <c r="N240" s="368"/>
      <c r="O240" s="368"/>
      <c r="P240" s="368"/>
    </row>
    <row r="241" spans="1:16">
      <c r="A241" s="345"/>
      <c r="B241" s="344"/>
      <c r="C241" s="346"/>
      <c r="D241" s="347"/>
      <c r="E241" s="346"/>
      <c r="F241" s="347"/>
      <c r="G241" s="347"/>
      <c r="H241" s="347"/>
      <c r="I241" s="347"/>
      <c r="J241" s="347"/>
      <c r="K241" s="347"/>
      <c r="L241" s="368"/>
      <c r="M241" s="368"/>
      <c r="N241" s="368"/>
      <c r="O241" s="368"/>
      <c r="P241" s="368"/>
    </row>
    <row r="242" spans="1:16">
      <c r="A242" s="345"/>
      <c r="B242" s="344"/>
      <c r="C242" s="346"/>
      <c r="D242" s="347"/>
      <c r="E242" s="346"/>
      <c r="F242" s="347"/>
      <c r="G242" s="347"/>
      <c r="H242" s="347"/>
      <c r="I242" s="347"/>
      <c r="J242" s="347"/>
      <c r="K242" s="347"/>
      <c r="L242" s="368"/>
      <c r="M242" s="368"/>
      <c r="N242" s="368"/>
      <c r="O242" s="368"/>
      <c r="P242" s="368"/>
    </row>
    <row r="243" spans="1:16">
      <c r="A243" s="345"/>
      <c r="B243" s="344"/>
      <c r="C243" s="346"/>
      <c r="D243" s="347"/>
      <c r="E243" s="346"/>
      <c r="F243" s="347"/>
      <c r="G243" s="347"/>
      <c r="H243" s="347"/>
      <c r="I243" s="347"/>
      <c r="J243" s="347"/>
      <c r="K243" s="347"/>
      <c r="L243" s="368"/>
      <c r="M243" s="368"/>
      <c r="N243" s="368"/>
      <c r="O243" s="368"/>
      <c r="P243" s="368"/>
    </row>
    <row r="244" spans="1:16">
      <c r="A244" s="345"/>
      <c r="B244" s="344"/>
      <c r="C244" s="346"/>
      <c r="D244" s="347"/>
      <c r="E244" s="346"/>
      <c r="F244" s="347"/>
      <c r="G244" s="347"/>
      <c r="H244" s="347"/>
      <c r="I244" s="347"/>
      <c r="J244" s="347"/>
      <c r="K244" s="347"/>
      <c r="L244" s="368"/>
      <c r="M244" s="368"/>
      <c r="N244" s="368"/>
      <c r="O244" s="368"/>
      <c r="P244" s="368"/>
    </row>
    <row r="245" spans="1:16">
      <c r="A245" s="345"/>
      <c r="B245" s="344"/>
      <c r="C245" s="346"/>
      <c r="D245" s="347"/>
      <c r="E245" s="346"/>
      <c r="F245" s="347"/>
      <c r="G245" s="347"/>
      <c r="H245" s="347"/>
      <c r="I245" s="347"/>
      <c r="J245" s="347"/>
      <c r="K245" s="347"/>
      <c r="L245" s="368"/>
      <c r="M245" s="368"/>
      <c r="N245" s="368"/>
      <c r="O245" s="368"/>
      <c r="P245" s="368"/>
    </row>
    <row r="246" spans="1:16">
      <c r="A246" s="345"/>
      <c r="B246" s="344"/>
      <c r="C246" s="346"/>
      <c r="D246" s="347"/>
      <c r="E246" s="346"/>
      <c r="F246" s="347"/>
      <c r="G246" s="347"/>
      <c r="H246" s="347"/>
      <c r="I246" s="347"/>
      <c r="J246" s="347"/>
      <c r="K246" s="347"/>
      <c r="L246" s="368"/>
      <c r="M246" s="368"/>
      <c r="N246" s="368"/>
      <c r="O246" s="368"/>
      <c r="P246" s="368"/>
    </row>
    <row r="247" spans="1:16">
      <c r="A247" s="345"/>
      <c r="B247" s="344"/>
      <c r="C247" s="346"/>
      <c r="D247" s="347"/>
      <c r="E247" s="346"/>
      <c r="F247" s="347"/>
      <c r="G247" s="347"/>
      <c r="H247" s="347"/>
      <c r="I247" s="347"/>
      <c r="J247" s="347"/>
      <c r="K247" s="347"/>
      <c r="L247" s="368"/>
      <c r="M247" s="368"/>
      <c r="N247" s="368"/>
      <c r="O247" s="368"/>
      <c r="P247" s="368"/>
    </row>
    <row r="248" spans="1:16">
      <c r="A248" s="345"/>
      <c r="B248" s="344"/>
      <c r="C248" s="346"/>
      <c r="D248" s="347"/>
      <c r="E248" s="346"/>
      <c r="F248" s="347"/>
      <c r="G248" s="347"/>
      <c r="H248" s="347"/>
      <c r="I248" s="347"/>
      <c r="J248" s="347"/>
      <c r="K248" s="347"/>
      <c r="L248" s="368"/>
      <c r="M248" s="368"/>
      <c r="N248" s="368"/>
      <c r="O248" s="368"/>
      <c r="P248" s="368"/>
    </row>
    <row r="249" spans="1:16">
      <c r="A249" s="345"/>
      <c r="B249" s="344"/>
      <c r="C249" s="346"/>
      <c r="D249" s="347"/>
      <c r="E249" s="346"/>
      <c r="F249" s="347"/>
      <c r="G249" s="347"/>
      <c r="H249" s="347"/>
      <c r="I249" s="347"/>
      <c r="J249" s="347"/>
      <c r="K249" s="347"/>
      <c r="L249" s="368"/>
      <c r="M249" s="368"/>
      <c r="N249" s="368"/>
      <c r="O249" s="368"/>
      <c r="P249" s="368"/>
    </row>
    <row r="250" spans="1:16">
      <c r="A250" s="345"/>
      <c r="B250" s="344"/>
      <c r="C250" s="346"/>
      <c r="D250" s="347"/>
      <c r="E250" s="346"/>
      <c r="F250" s="347"/>
      <c r="G250" s="347"/>
      <c r="H250" s="347"/>
      <c r="I250" s="347"/>
      <c r="J250" s="347"/>
      <c r="K250" s="347"/>
      <c r="L250" s="368"/>
      <c r="M250" s="368"/>
      <c r="N250" s="368"/>
      <c r="O250" s="368"/>
      <c r="P250" s="368"/>
    </row>
    <row r="251" spans="1:16">
      <c r="A251" s="345"/>
      <c r="B251" s="344"/>
      <c r="C251" s="346"/>
      <c r="D251" s="347"/>
      <c r="E251" s="346"/>
      <c r="F251" s="347"/>
      <c r="G251" s="347"/>
      <c r="H251" s="347"/>
      <c r="I251" s="347"/>
      <c r="J251" s="347"/>
      <c r="K251" s="347"/>
      <c r="L251" s="368"/>
      <c r="M251" s="368"/>
      <c r="N251" s="368"/>
      <c r="O251" s="368"/>
      <c r="P251" s="368"/>
    </row>
    <row r="252" spans="1:16">
      <c r="A252" s="345"/>
      <c r="B252" s="344"/>
      <c r="C252" s="346"/>
      <c r="D252" s="347"/>
      <c r="E252" s="346"/>
      <c r="F252" s="347"/>
      <c r="G252" s="347"/>
      <c r="H252" s="347"/>
      <c r="I252" s="347"/>
      <c r="J252" s="347"/>
      <c r="K252" s="347"/>
      <c r="L252" s="368"/>
      <c r="M252" s="368"/>
      <c r="N252" s="368"/>
      <c r="O252" s="368"/>
      <c r="P252" s="368"/>
    </row>
    <row r="253" spans="1:16">
      <c r="A253" s="345"/>
      <c r="B253" s="344"/>
      <c r="C253" s="346"/>
      <c r="D253" s="347"/>
      <c r="E253" s="346"/>
      <c r="F253" s="347"/>
      <c r="G253" s="347"/>
      <c r="H253" s="347"/>
      <c r="I253" s="347"/>
      <c r="J253" s="347"/>
      <c r="K253" s="347"/>
      <c r="L253" s="368"/>
      <c r="M253" s="368"/>
      <c r="N253" s="368"/>
      <c r="O253" s="368"/>
      <c r="P253" s="368"/>
    </row>
    <row r="254" spans="1:16">
      <c r="A254" s="345"/>
      <c r="B254" s="344"/>
      <c r="C254" s="346"/>
      <c r="D254" s="347"/>
      <c r="E254" s="346"/>
      <c r="F254" s="347"/>
      <c r="G254" s="347"/>
      <c r="H254" s="347"/>
      <c r="I254" s="347"/>
      <c r="J254" s="347"/>
      <c r="K254" s="347"/>
      <c r="L254" s="368"/>
      <c r="M254" s="368"/>
      <c r="N254" s="368"/>
      <c r="O254" s="368"/>
      <c r="P254" s="368"/>
    </row>
    <row r="255" spans="1:16">
      <c r="A255" s="345"/>
      <c r="B255" s="344"/>
      <c r="C255" s="346"/>
      <c r="D255" s="347"/>
      <c r="E255" s="346"/>
      <c r="F255" s="347"/>
      <c r="G255" s="347"/>
      <c r="H255" s="347"/>
      <c r="I255" s="347"/>
      <c r="J255" s="347"/>
      <c r="K255" s="347"/>
      <c r="L255" s="368"/>
      <c r="M255" s="368"/>
      <c r="N255" s="368"/>
      <c r="O255" s="368"/>
      <c r="P255" s="368"/>
    </row>
    <row r="256" spans="1:16">
      <c r="A256" s="345"/>
      <c r="B256" s="344"/>
      <c r="C256" s="346"/>
      <c r="D256" s="347"/>
      <c r="E256" s="346"/>
      <c r="F256" s="347"/>
      <c r="G256" s="347"/>
      <c r="H256" s="347"/>
      <c r="I256" s="347"/>
      <c r="J256" s="347"/>
      <c r="K256" s="347"/>
      <c r="L256" s="368"/>
      <c r="M256" s="368"/>
      <c r="N256" s="368"/>
      <c r="O256" s="368"/>
      <c r="P256" s="368"/>
    </row>
    <row r="257" spans="1:16">
      <c r="A257" s="345"/>
      <c r="B257" s="344"/>
      <c r="C257" s="346"/>
      <c r="D257" s="347"/>
      <c r="E257" s="346"/>
      <c r="F257" s="347"/>
      <c r="G257" s="347"/>
      <c r="H257" s="347"/>
      <c r="I257" s="347"/>
      <c r="J257" s="347"/>
      <c r="K257" s="347"/>
      <c r="L257" s="368"/>
      <c r="M257" s="368"/>
      <c r="N257" s="368"/>
      <c r="O257" s="368"/>
      <c r="P257" s="368"/>
    </row>
    <row r="258" spans="1:16">
      <c r="A258" s="345"/>
      <c r="B258" s="344"/>
      <c r="C258" s="346"/>
      <c r="D258" s="347"/>
      <c r="E258" s="346"/>
      <c r="F258" s="347"/>
      <c r="G258" s="347"/>
      <c r="H258" s="347"/>
      <c r="I258" s="347"/>
      <c r="J258" s="347"/>
      <c r="K258" s="347"/>
      <c r="L258" s="368"/>
      <c r="M258" s="368"/>
      <c r="N258" s="368"/>
      <c r="O258" s="368"/>
      <c r="P258" s="368"/>
    </row>
    <row r="259" spans="1:16">
      <c r="A259" s="345"/>
      <c r="B259" s="344"/>
      <c r="C259" s="346"/>
      <c r="D259" s="347"/>
      <c r="E259" s="346"/>
      <c r="F259" s="347"/>
      <c r="G259" s="347"/>
      <c r="H259" s="347"/>
      <c r="I259" s="347"/>
      <c r="J259" s="347"/>
      <c r="K259" s="347"/>
      <c r="L259" s="368"/>
      <c r="M259" s="368"/>
      <c r="N259" s="368"/>
      <c r="O259" s="368"/>
      <c r="P259" s="368"/>
    </row>
    <row r="260" spans="1:16">
      <c r="A260" s="345"/>
      <c r="B260" s="344"/>
      <c r="C260" s="346"/>
      <c r="D260" s="347"/>
      <c r="E260" s="346"/>
      <c r="F260" s="347"/>
      <c r="G260" s="347"/>
      <c r="H260" s="347"/>
      <c r="I260" s="347"/>
      <c r="J260" s="347"/>
      <c r="K260" s="347"/>
      <c r="L260" s="368"/>
      <c r="M260" s="368"/>
      <c r="N260" s="368"/>
      <c r="O260" s="368"/>
      <c r="P260" s="368"/>
    </row>
    <row r="261" spans="1:16">
      <c r="A261" s="345"/>
      <c r="B261" s="344"/>
      <c r="C261" s="346"/>
      <c r="D261" s="347"/>
      <c r="E261" s="346"/>
      <c r="F261" s="347"/>
      <c r="G261" s="347"/>
      <c r="H261" s="347"/>
      <c r="I261" s="347"/>
      <c r="J261" s="347"/>
      <c r="K261" s="347"/>
      <c r="L261" s="368"/>
      <c r="M261" s="368"/>
      <c r="N261" s="368"/>
      <c r="O261" s="368"/>
      <c r="P261" s="368"/>
    </row>
    <row r="262" spans="1:16">
      <c r="A262" s="345"/>
      <c r="B262" s="344"/>
      <c r="C262" s="346"/>
      <c r="D262" s="347"/>
      <c r="E262" s="346"/>
      <c r="F262" s="347"/>
      <c r="G262" s="347"/>
      <c r="H262" s="347"/>
      <c r="I262" s="347"/>
      <c r="J262" s="347"/>
      <c r="K262" s="347"/>
      <c r="L262" s="368"/>
      <c r="M262" s="368"/>
      <c r="N262" s="368"/>
      <c r="O262" s="368"/>
      <c r="P262" s="368"/>
    </row>
    <row r="263" spans="1:16">
      <c r="A263" s="345"/>
      <c r="B263" s="344"/>
      <c r="C263" s="346"/>
      <c r="D263" s="347"/>
      <c r="E263" s="346"/>
      <c r="F263" s="347"/>
      <c r="G263" s="347"/>
      <c r="H263" s="347"/>
      <c r="I263" s="347"/>
      <c r="J263" s="347"/>
      <c r="K263" s="347"/>
      <c r="L263" s="368"/>
      <c r="M263" s="368"/>
      <c r="N263" s="368"/>
      <c r="O263" s="368"/>
      <c r="P263" s="368"/>
    </row>
    <row r="264" spans="1:16">
      <c r="A264" s="345"/>
      <c r="B264" s="344"/>
      <c r="C264" s="346"/>
      <c r="D264" s="347"/>
      <c r="E264" s="346"/>
      <c r="F264" s="347"/>
      <c r="G264" s="347"/>
      <c r="H264" s="347"/>
      <c r="I264" s="347"/>
      <c r="J264" s="347"/>
      <c r="K264" s="347"/>
      <c r="L264" s="368"/>
      <c r="M264" s="368"/>
      <c r="N264" s="368"/>
      <c r="O264" s="368"/>
      <c r="P264" s="368"/>
    </row>
    <row r="265" spans="1:16">
      <c r="A265" s="345"/>
      <c r="B265" s="344"/>
      <c r="C265" s="346"/>
      <c r="D265" s="347"/>
      <c r="E265" s="346"/>
      <c r="F265" s="347"/>
      <c r="G265" s="347"/>
      <c r="H265" s="347"/>
      <c r="I265" s="347"/>
      <c r="J265" s="347"/>
      <c r="K265" s="347"/>
      <c r="L265" s="368"/>
      <c r="M265" s="368"/>
      <c r="N265" s="368"/>
      <c r="O265" s="368"/>
      <c r="P265" s="368"/>
    </row>
    <row r="266" spans="1:16">
      <c r="A266" s="345"/>
      <c r="B266" s="344"/>
      <c r="C266" s="346"/>
      <c r="D266" s="347"/>
      <c r="E266" s="346"/>
      <c r="F266" s="347"/>
      <c r="G266" s="347"/>
      <c r="H266" s="347"/>
      <c r="I266" s="347"/>
      <c r="J266" s="347"/>
      <c r="K266" s="347"/>
      <c r="L266" s="368"/>
      <c r="M266" s="368"/>
      <c r="N266" s="368"/>
      <c r="O266" s="368"/>
      <c r="P266" s="368"/>
    </row>
    <row r="267" spans="1:16">
      <c r="A267" s="345"/>
      <c r="C267" s="346"/>
      <c r="D267" s="347"/>
      <c r="E267" s="346"/>
      <c r="F267" s="347"/>
      <c r="G267" s="347"/>
      <c r="H267" s="347"/>
      <c r="I267" s="347"/>
      <c r="J267" s="347"/>
      <c r="K267" s="347"/>
      <c r="L267" s="368"/>
      <c r="M267" s="368"/>
      <c r="N267" s="368"/>
      <c r="O267" s="368"/>
      <c r="P267" s="368"/>
    </row>
  </sheetData>
  <autoFilter xmlns:etc="http://www.wps.cn/officeDocument/2017/etCustomData" ref="A1:P16" etc:filterBottomFollowUsedRange="0">
    <extLst/>
  </autoFilter>
  <hyperlinks>
    <hyperlink ref="E2" r:id="rId1" display="palmatejanhavi@gmail.com"/>
    <hyperlink ref="E3" r:id="rId2" display="info@abcheaters.in"/>
    <hyperlink ref="E4" r:id="rId3" display="palmatejanhavi@gmail.com"/>
    <hyperlink ref="E5" r:id="rId4" display="palmatejanhavi@gmail.com"/>
    <hyperlink ref="E6" r:id="rId3" display="palmatejanhavi@gmail.com"/>
    <hyperlink ref="E7" r:id="rId5" display="palmatejanhavi@gmail.com"/>
    <hyperlink ref="E8" r:id="rId6" display="palmatejanhavi@gmail.com"/>
    <hyperlink ref="E9" r:id="rId7" display="palmatejanhavi@gmail.com"/>
    <hyperlink ref="E10" r:id="rId8" display="palmatejanhavi@gmail.com"/>
    <hyperlink ref="E11" r:id="rId9" display="palmatejanhavi@gmail.com"/>
    <hyperlink ref="E12" r:id="rId10" display="palmatejanhavi@gmail.com"/>
    <hyperlink ref="E13" r:id="rId11" display="palmatejanhavi@gmail.com"/>
    <hyperlink ref="E14" r:id="rId8" display="palmatejanhavi@gmail.com"/>
    <hyperlink ref="E15" r:id="rId3" display="palmatejanhavi@gmail.com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132"/>
  <sheetViews>
    <sheetView workbookViewId="0">
      <pane ySplit="2" topLeftCell="A3" activePane="bottomLeft" state="frozen"/>
      <selection/>
      <selection pane="bottomLeft" activeCell="C35" sqref="C35"/>
    </sheetView>
  </sheetViews>
  <sheetFormatPr defaultColWidth="12.5740740740741" defaultRowHeight="13.8"/>
  <cols>
    <col min="1" max="1" width="14.1388888888889" style="246" customWidth="1"/>
    <col min="2" max="2" width="45.712962962963" style="246" customWidth="1"/>
    <col min="3" max="3" width="9.13888888888889" style="246" customWidth="1"/>
    <col min="4" max="4" width="10.1388888888889" style="246" customWidth="1"/>
    <col min="5" max="5" width="9.85185185185185" style="246" customWidth="1"/>
    <col min="6" max="6" width="11.287037037037" style="246" customWidth="1"/>
    <col min="7" max="7" width="12.287037037037" style="246" customWidth="1"/>
    <col min="8" max="8" width="8.85185185185185" style="246" customWidth="1"/>
    <col min="9" max="9" width="12.1388888888889" style="246" customWidth="1"/>
    <col min="10" max="10" width="11.712962962963" style="246" customWidth="1"/>
    <col min="11" max="11" width="9.57407407407407" style="246" customWidth="1"/>
    <col min="12" max="12" width="8.42592592592593" style="246" customWidth="1"/>
    <col min="13" max="16384" width="12.5740740740741" style="246" customWidth="1"/>
  </cols>
  <sheetData>
    <row r="1" spans="1:11">
      <c r="A1" s="246">
        <v>1</v>
      </c>
      <c r="B1" s="246">
        <v>2</v>
      </c>
      <c r="C1" s="246">
        <v>3</v>
      </c>
      <c r="D1" s="246">
        <v>4</v>
      </c>
      <c r="E1" s="246">
        <v>5</v>
      </c>
      <c r="F1" s="246">
        <v>6</v>
      </c>
      <c r="G1" s="246">
        <v>7</v>
      </c>
      <c r="H1" s="246">
        <v>8</v>
      </c>
      <c r="I1" s="246">
        <v>9</v>
      </c>
      <c r="J1" s="246">
        <v>10</v>
      </c>
      <c r="K1" s="246">
        <v>11</v>
      </c>
    </row>
    <row r="2" ht="38.25" customHeight="1" spans="1:11">
      <c r="A2" s="247" t="s">
        <v>118</v>
      </c>
      <c r="B2" s="247" t="s">
        <v>119</v>
      </c>
      <c r="C2" s="247" t="s">
        <v>120</v>
      </c>
      <c r="D2" s="247" t="s">
        <v>121</v>
      </c>
      <c r="E2" s="247" t="s">
        <v>122</v>
      </c>
      <c r="F2" s="247" t="s">
        <v>123</v>
      </c>
      <c r="G2" s="247" t="s">
        <v>124</v>
      </c>
      <c r="H2" s="247" t="s">
        <v>125</v>
      </c>
      <c r="I2" s="247" t="s">
        <v>126</v>
      </c>
      <c r="J2" s="270" t="s">
        <v>127</v>
      </c>
      <c r="K2" s="271" t="s">
        <v>128</v>
      </c>
    </row>
    <row r="3" spans="1:11">
      <c r="A3" s="248" t="s">
        <v>129</v>
      </c>
      <c r="B3" s="249" t="s">
        <v>130</v>
      </c>
      <c r="C3" s="248">
        <v>8536</v>
      </c>
      <c r="D3" s="250">
        <v>0</v>
      </c>
      <c r="E3" s="250"/>
      <c r="F3" s="250"/>
      <c r="G3" s="250">
        <f t="shared" ref="G3:G66" si="0">+D3+E3-F3</f>
        <v>0</v>
      </c>
      <c r="H3" s="251">
        <v>18</v>
      </c>
      <c r="I3" s="272" t="s">
        <v>131</v>
      </c>
      <c r="J3" s="273">
        <f t="shared" ref="J3:J66" si="1">+G3*K3+G3*K3*H3%</f>
        <v>0</v>
      </c>
      <c r="K3" s="273">
        <v>5.5</v>
      </c>
    </row>
    <row r="4" spans="1:11">
      <c r="A4" s="248" t="s">
        <v>132</v>
      </c>
      <c r="B4" s="252" t="s">
        <v>133</v>
      </c>
      <c r="C4" s="248">
        <v>8547</v>
      </c>
      <c r="D4" s="250">
        <v>0</v>
      </c>
      <c r="E4" s="250"/>
      <c r="F4" s="250"/>
      <c r="G4" s="250">
        <f t="shared" si="0"/>
        <v>0</v>
      </c>
      <c r="H4" s="251">
        <v>18</v>
      </c>
      <c r="I4" s="272" t="s">
        <v>131</v>
      </c>
      <c r="J4" s="273">
        <f t="shared" si="1"/>
        <v>0</v>
      </c>
      <c r="K4" s="273">
        <v>1.5</v>
      </c>
    </row>
    <row r="5" spans="1:11">
      <c r="A5" s="248" t="s">
        <v>134</v>
      </c>
      <c r="B5" s="252" t="s">
        <v>135</v>
      </c>
      <c r="C5" s="248">
        <v>8547</v>
      </c>
      <c r="D5" s="250">
        <v>0</v>
      </c>
      <c r="E5" s="250"/>
      <c r="F5" s="250"/>
      <c r="G5" s="250">
        <f t="shared" si="0"/>
        <v>0</v>
      </c>
      <c r="H5" s="251">
        <v>18</v>
      </c>
      <c r="I5" s="272" t="s">
        <v>131</v>
      </c>
      <c r="J5" s="273">
        <f t="shared" si="1"/>
        <v>0</v>
      </c>
      <c r="K5" s="273">
        <v>1.5</v>
      </c>
    </row>
    <row r="6" spans="1:11">
      <c r="A6" s="248" t="s">
        <v>136</v>
      </c>
      <c r="B6" s="249" t="s">
        <v>137</v>
      </c>
      <c r="C6" s="248">
        <v>39191000</v>
      </c>
      <c r="D6" s="250">
        <v>0</v>
      </c>
      <c r="E6" s="250"/>
      <c r="F6" s="250"/>
      <c r="G6" s="250">
        <f t="shared" si="0"/>
        <v>0</v>
      </c>
      <c r="H6" s="251">
        <v>18</v>
      </c>
      <c r="I6" s="272" t="s">
        <v>131</v>
      </c>
      <c r="J6" s="273">
        <f t="shared" si="1"/>
        <v>0</v>
      </c>
      <c r="K6" s="273">
        <v>4.4</v>
      </c>
    </row>
    <row r="7" spans="1:11">
      <c r="A7" s="248" t="s">
        <v>138</v>
      </c>
      <c r="B7" s="249" t="s">
        <v>139</v>
      </c>
      <c r="C7" s="248">
        <v>39191000</v>
      </c>
      <c r="D7" s="250">
        <v>0</v>
      </c>
      <c r="E7" s="250">
        <v>360</v>
      </c>
      <c r="F7" s="250">
        <f>216+144</f>
        <v>360</v>
      </c>
      <c r="G7" s="250">
        <f t="shared" si="0"/>
        <v>0</v>
      </c>
      <c r="H7" s="251">
        <v>18</v>
      </c>
      <c r="I7" s="272" t="s">
        <v>131</v>
      </c>
      <c r="J7" s="273">
        <f t="shared" si="1"/>
        <v>0</v>
      </c>
      <c r="K7" s="273">
        <v>25</v>
      </c>
    </row>
    <row r="8" spans="1:11">
      <c r="A8" s="248" t="s">
        <v>140</v>
      </c>
      <c r="B8" s="249" t="s">
        <v>141</v>
      </c>
      <c r="C8" s="248">
        <v>39191000</v>
      </c>
      <c r="D8" s="250">
        <v>0</v>
      </c>
      <c r="E8" s="250"/>
      <c r="F8" s="250"/>
      <c r="G8" s="250">
        <f t="shared" si="0"/>
        <v>0</v>
      </c>
      <c r="H8" s="251">
        <v>18</v>
      </c>
      <c r="I8" s="272" t="s">
        <v>131</v>
      </c>
      <c r="J8" s="273">
        <f t="shared" si="1"/>
        <v>0</v>
      </c>
      <c r="K8" s="273">
        <v>35.8</v>
      </c>
    </row>
    <row r="9" spans="1:11">
      <c r="A9" s="248" t="s">
        <v>142</v>
      </c>
      <c r="B9" s="249" t="s">
        <v>143</v>
      </c>
      <c r="C9" s="248">
        <v>39191000</v>
      </c>
      <c r="D9" s="250">
        <v>0</v>
      </c>
      <c r="E9" s="250"/>
      <c r="F9" s="250"/>
      <c r="G9" s="250">
        <f t="shared" si="0"/>
        <v>0</v>
      </c>
      <c r="H9" s="251">
        <v>18</v>
      </c>
      <c r="I9" s="272" t="s">
        <v>131</v>
      </c>
      <c r="J9" s="273">
        <f t="shared" si="1"/>
        <v>0</v>
      </c>
      <c r="K9" s="273">
        <v>17.97</v>
      </c>
    </row>
    <row r="10" spans="1:11">
      <c r="A10" s="248" t="s">
        <v>144</v>
      </c>
      <c r="B10" s="249" t="s">
        <v>145</v>
      </c>
      <c r="C10" s="248">
        <v>39191000</v>
      </c>
      <c r="D10" s="250">
        <v>0</v>
      </c>
      <c r="E10" s="250"/>
      <c r="F10" s="250"/>
      <c r="G10" s="250">
        <f t="shared" si="0"/>
        <v>0</v>
      </c>
      <c r="H10" s="251">
        <v>18</v>
      </c>
      <c r="I10" s="272" t="s">
        <v>131</v>
      </c>
      <c r="J10" s="273">
        <f t="shared" si="1"/>
        <v>0</v>
      </c>
      <c r="K10" s="273">
        <v>12.43</v>
      </c>
    </row>
    <row r="11" spans="1:11">
      <c r="A11" s="248" t="s">
        <v>146</v>
      </c>
      <c r="B11" s="249" t="s">
        <v>147</v>
      </c>
      <c r="C11" s="248">
        <v>39191000</v>
      </c>
      <c r="D11" s="250">
        <v>0</v>
      </c>
      <c r="E11" s="250"/>
      <c r="F11" s="250"/>
      <c r="G11" s="250">
        <f t="shared" si="0"/>
        <v>0</v>
      </c>
      <c r="H11" s="251">
        <v>18</v>
      </c>
      <c r="I11" s="272" t="s">
        <v>131</v>
      </c>
      <c r="J11" s="273">
        <f t="shared" si="1"/>
        <v>0</v>
      </c>
      <c r="K11" s="273">
        <v>27</v>
      </c>
    </row>
    <row r="12" spans="1:11">
      <c r="A12" s="248" t="s">
        <v>148</v>
      </c>
      <c r="B12" s="249" t="s">
        <v>149</v>
      </c>
      <c r="C12" s="248">
        <v>39191000</v>
      </c>
      <c r="D12" s="250">
        <v>0</v>
      </c>
      <c r="E12" s="250"/>
      <c r="F12" s="250"/>
      <c r="G12" s="250">
        <f t="shared" si="0"/>
        <v>0</v>
      </c>
      <c r="H12" s="251">
        <v>18</v>
      </c>
      <c r="I12" s="272" t="s">
        <v>131</v>
      </c>
      <c r="J12" s="273">
        <f t="shared" si="1"/>
        <v>0</v>
      </c>
      <c r="K12" s="273">
        <v>35.8</v>
      </c>
    </row>
    <row r="13" spans="1:11">
      <c r="A13" s="248" t="s">
        <v>150</v>
      </c>
      <c r="B13" s="249" t="s">
        <v>151</v>
      </c>
      <c r="C13" s="253">
        <v>39269099</v>
      </c>
      <c r="D13" s="250">
        <v>0</v>
      </c>
      <c r="E13" s="250">
        <v>1000</v>
      </c>
      <c r="F13" s="250">
        <v>0</v>
      </c>
      <c r="G13" s="250">
        <f t="shared" si="0"/>
        <v>1000</v>
      </c>
      <c r="H13" s="251">
        <v>18</v>
      </c>
      <c r="I13" s="272" t="s">
        <v>131</v>
      </c>
      <c r="J13" s="273">
        <f t="shared" si="1"/>
        <v>590</v>
      </c>
      <c r="K13" s="273">
        <v>0.5</v>
      </c>
    </row>
    <row r="14" spans="1:11">
      <c r="A14" s="248" t="s">
        <v>152</v>
      </c>
      <c r="B14" s="254" t="s">
        <v>153</v>
      </c>
      <c r="C14" s="253">
        <v>39269099</v>
      </c>
      <c r="D14" s="250">
        <v>8000</v>
      </c>
      <c r="E14" s="250">
        <v>10000</v>
      </c>
      <c r="F14" s="250">
        <v>5000</v>
      </c>
      <c r="G14" s="250">
        <f t="shared" si="0"/>
        <v>13000</v>
      </c>
      <c r="H14" s="251">
        <v>18</v>
      </c>
      <c r="I14" s="272" t="s">
        <v>131</v>
      </c>
      <c r="J14" s="273">
        <f t="shared" si="1"/>
        <v>2147.6</v>
      </c>
      <c r="K14" s="273">
        <v>0.14</v>
      </c>
    </row>
    <row r="15" spans="1:11">
      <c r="A15" s="248" t="s">
        <v>154</v>
      </c>
      <c r="B15" s="254" t="s">
        <v>155</v>
      </c>
      <c r="C15" s="253">
        <v>39269099</v>
      </c>
      <c r="D15" s="250">
        <v>0</v>
      </c>
      <c r="E15" s="250"/>
      <c r="F15" s="250"/>
      <c r="G15" s="250">
        <f t="shared" si="0"/>
        <v>0</v>
      </c>
      <c r="H15" s="251">
        <v>18</v>
      </c>
      <c r="I15" s="272" t="s">
        <v>131</v>
      </c>
      <c r="J15" s="273">
        <f t="shared" si="1"/>
        <v>0</v>
      </c>
      <c r="K15" s="273">
        <v>0.45</v>
      </c>
    </row>
    <row r="16" spans="1:11">
      <c r="A16" s="248" t="s">
        <v>156</v>
      </c>
      <c r="B16" s="254" t="s">
        <v>157</v>
      </c>
      <c r="C16" s="253">
        <v>39269099</v>
      </c>
      <c r="D16" s="250">
        <v>0</v>
      </c>
      <c r="E16" s="250"/>
      <c r="F16" s="250"/>
      <c r="G16" s="250">
        <f t="shared" si="0"/>
        <v>0</v>
      </c>
      <c r="H16" s="251">
        <v>18</v>
      </c>
      <c r="I16" s="272" t="s">
        <v>131</v>
      </c>
      <c r="J16" s="273">
        <f t="shared" si="1"/>
        <v>0</v>
      </c>
      <c r="K16" s="273">
        <v>0.45</v>
      </c>
    </row>
    <row r="17" spans="1:11">
      <c r="A17" s="248" t="s">
        <v>158</v>
      </c>
      <c r="B17" s="249" t="s">
        <v>159</v>
      </c>
      <c r="C17" s="248">
        <v>4616</v>
      </c>
      <c r="D17" s="250">
        <v>31.4</v>
      </c>
      <c r="E17" s="250">
        <f>28+32.7</f>
        <v>60.7</v>
      </c>
      <c r="F17" s="250">
        <f>31.4+28+32.7</f>
        <v>92.1</v>
      </c>
      <c r="G17" s="250">
        <f t="shared" si="0"/>
        <v>0</v>
      </c>
      <c r="H17" s="251">
        <v>12</v>
      </c>
      <c r="I17" s="272" t="s">
        <v>160</v>
      </c>
      <c r="J17" s="273">
        <f t="shared" si="1"/>
        <v>0</v>
      </c>
      <c r="K17" s="273">
        <v>220</v>
      </c>
    </row>
    <row r="18" spans="1:11">
      <c r="A18" s="248" t="s">
        <v>161</v>
      </c>
      <c r="B18" s="249" t="s">
        <v>162</v>
      </c>
      <c r="C18" s="248">
        <v>4616</v>
      </c>
      <c r="D18" s="250">
        <v>0</v>
      </c>
      <c r="E18" s="250"/>
      <c r="F18" s="250"/>
      <c r="G18" s="250">
        <f t="shared" si="0"/>
        <v>0</v>
      </c>
      <c r="H18" s="251">
        <v>12</v>
      </c>
      <c r="I18" s="272" t="s">
        <v>160</v>
      </c>
      <c r="J18" s="273">
        <f t="shared" si="1"/>
        <v>0</v>
      </c>
      <c r="K18" s="273">
        <v>198</v>
      </c>
    </row>
    <row r="19" spans="1:11">
      <c r="A19" s="248" t="s">
        <v>163</v>
      </c>
      <c r="B19" s="249" t="s">
        <v>164</v>
      </c>
      <c r="C19" s="248">
        <v>48114100</v>
      </c>
      <c r="D19" s="250">
        <v>0</v>
      </c>
      <c r="E19" s="250">
        <f>49+63+209+209+270</f>
        <v>800</v>
      </c>
      <c r="F19" s="250">
        <f>61+260+209</f>
        <v>530</v>
      </c>
      <c r="G19" s="250">
        <f t="shared" si="0"/>
        <v>270</v>
      </c>
      <c r="H19" s="251">
        <v>18</v>
      </c>
      <c r="I19" s="272" t="s">
        <v>131</v>
      </c>
      <c r="J19" s="273">
        <f t="shared" si="1"/>
        <v>4460.4</v>
      </c>
      <c r="K19" s="273">
        <v>14</v>
      </c>
    </row>
    <row r="20" spans="1:11">
      <c r="A20" s="248" t="s">
        <v>165</v>
      </c>
      <c r="B20" s="249" t="s">
        <v>166</v>
      </c>
      <c r="C20" s="248">
        <v>48114100</v>
      </c>
      <c r="D20" s="250">
        <v>17</v>
      </c>
      <c r="E20" s="250"/>
      <c r="F20" s="250"/>
      <c r="G20" s="250">
        <f t="shared" si="0"/>
        <v>17</v>
      </c>
      <c r="H20" s="251">
        <v>18</v>
      </c>
      <c r="I20" s="272" t="s">
        <v>131</v>
      </c>
      <c r="J20" s="273">
        <f t="shared" si="1"/>
        <v>1504.5</v>
      </c>
      <c r="K20" s="273">
        <v>75</v>
      </c>
    </row>
    <row r="21" spans="1:11">
      <c r="A21" s="248" t="s">
        <v>167</v>
      </c>
      <c r="B21" s="249" t="s">
        <v>168</v>
      </c>
      <c r="C21" s="248">
        <v>85469090</v>
      </c>
      <c r="D21" s="250">
        <v>0</v>
      </c>
      <c r="E21" s="250"/>
      <c r="F21" s="250"/>
      <c r="G21" s="250">
        <f t="shared" si="0"/>
        <v>0</v>
      </c>
      <c r="H21" s="251">
        <v>18</v>
      </c>
      <c r="I21" s="272" t="s">
        <v>160</v>
      </c>
      <c r="J21" s="273">
        <f t="shared" si="1"/>
        <v>0</v>
      </c>
      <c r="K21" s="273">
        <v>180</v>
      </c>
    </row>
    <row r="22" spans="1:11">
      <c r="A22" s="248" t="s">
        <v>169</v>
      </c>
      <c r="B22" s="249" t="s">
        <v>170</v>
      </c>
      <c r="C22" s="248">
        <v>85469090</v>
      </c>
      <c r="D22" s="250">
        <v>0</v>
      </c>
      <c r="E22" s="250"/>
      <c r="F22" s="250"/>
      <c r="G22" s="250">
        <f t="shared" si="0"/>
        <v>0</v>
      </c>
      <c r="H22" s="251">
        <v>18</v>
      </c>
      <c r="I22" s="272" t="s">
        <v>160</v>
      </c>
      <c r="J22" s="273">
        <f t="shared" si="1"/>
        <v>0</v>
      </c>
      <c r="K22" s="273">
        <v>242</v>
      </c>
    </row>
    <row r="23" spans="1:11">
      <c r="A23" s="248" t="s">
        <v>171</v>
      </c>
      <c r="B23" s="249" t="s">
        <v>172</v>
      </c>
      <c r="C23" s="248">
        <v>3920</v>
      </c>
      <c r="D23" s="250">
        <v>0</v>
      </c>
      <c r="E23" s="250"/>
      <c r="F23" s="250"/>
      <c r="G23" s="250">
        <f t="shared" si="0"/>
        <v>0</v>
      </c>
      <c r="H23" s="251">
        <v>18</v>
      </c>
      <c r="I23" s="272" t="s">
        <v>160</v>
      </c>
      <c r="J23" s="273">
        <f t="shared" si="1"/>
        <v>0</v>
      </c>
      <c r="K23" s="273">
        <v>288.5</v>
      </c>
    </row>
    <row r="24" spans="1:11">
      <c r="A24" s="248" t="s">
        <v>173</v>
      </c>
      <c r="B24" s="249" t="s">
        <v>174</v>
      </c>
      <c r="C24" s="248">
        <v>85469090</v>
      </c>
      <c r="D24" s="250">
        <v>0</v>
      </c>
      <c r="E24" s="250"/>
      <c r="F24" s="250"/>
      <c r="G24" s="250">
        <f t="shared" si="0"/>
        <v>0</v>
      </c>
      <c r="H24" s="251">
        <v>18</v>
      </c>
      <c r="I24" s="272" t="s">
        <v>160</v>
      </c>
      <c r="J24" s="273">
        <f t="shared" si="1"/>
        <v>0</v>
      </c>
      <c r="K24" s="273">
        <v>199</v>
      </c>
    </row>
    <row r="25" spans="1:11">
      <c r="A25" s="254" t="s">
        <v>175</v>
      </c>
      <c r="B25" s="249" t="s">
        <v>176</v>
      </c>
      <c r="C25" s="255">
        <v>8536</v>
      </c>
      <c r="D25" s="256">
        <v>35000</v>
      </c>
      <c r="E25" s="256"/>
      <c r="F25" s="256">
        <f>5000+5000+10000+10000</f>
        <v>30000</v>
      </c>
      <c r="G25" s="257">
        <f t="shared" si="0"/>
        <v>5000</v>
      </c>
      <c r="H25" s="258">
        <v>18</v>
      </c>
      <c r="I25" s="274" t="s">
        <v>131</v>
      </c>
      <c r="J25" s="275">
        <f t="shared" si="1"/>
        <v>1062</v>
      </c>
      <c r="K25" s="275">
        <v>0.18</v>
      </c>
    </row>
    <row r="26" spans="1:11">
      <c r="A26" s="254" t="s">
        <v>177</v>
      </c>
      <c r="B26" s="249" t="s">
        <v>33</v>
      </c>
      <c r="C26" s="248">
        <v>85469010</v>
      </c>
      <c r="D26" s="250">
        <v>0</v>
      </c>
      <c r="E26" s="250"/>
      <c r="F26" s="250"/>
      <c r="G26" s="250">
        <f t="shared" si="0"/>
        <v>0</v>
      </c>
      <c r="H26" s="251">
        <v>18</v>
      </c>
      <c r="I26" s="272" t="s">
        <v>131</v>
      </c>
      <c r="J26" s="273">
        <f t="shared" si="1"/>
        <v>0</v>
      </c>
      <c r="K26" s="273">
        <v>65.3</v>
      </c>
    </row>
    <row r="27" spans="1:11">
      <c r="A27" s="254" t="s">
        <v>178</v>
      </c>
      <c r="B27" s="249" t="s">
        <v>33</v>
      </c>
      <c r="C27" s="248">
        <v>85469010</v>
      </c>
      <c r="D27" s="250">
        <v>0</v>
      </c>
      <c r="E27" s="250"/>
      <c r="F27" s="250"/>
      <c r="G27" s="250">
        <f t="shared" si="0"/>
        <v>0</v>
      </c>
      <c r="H27" s="251">
        <v>18</v>
      </c>
      <c r="I27" s="272" t="s">
        <v>131</v>
      </c>
      <c r="J27" s="273">
        <f t="shared" si="1"/>
        <v>0</v>
      </c>
      <c r="K27" s="273">
        <v>99.8</v>
      </c>
    </row>
    <row r="28" spans="1:11">
      <c r="A28" s="259" t="s">
        <v>179</v>
      </c>
      <c r="B28" s="260" t="s">
        <v>180</v>
      </c>
      <c r="C28" s="261">
        <v>7019</v>
      </c>
      <c r="D28" s="262">
        <v>0</v>
      </c>
      <c r="E28" s="262"/>
      <c r="F28" s="262"/>
      <c r="G28" s="262">
        <f t="shared" si="0"/>
        <v>0</v>
      </c>
      <c r="H28" s="263">
        <v>18</v>
      </c>
      <c r="I28" s="276" t="s">
        <v>131</v>
      </c>
      <c r="J28" s="277">
        <f t="shared" si="1"/>
        <v>0</v>
      </c>
      <c r="K28" s="277"/>
    </row>
    <row r="29" spans="1:11">
      <c r="A29" s="264" t="s">
        <v>181</v>
      </c>
      <c r="B29" s="265" t="s">
        <v>182</v>
      </c>
      <c r="C29" s="248">
        <v>7019</v>
      </c>
      <c r="D29" s="250">
        <v>0</v>
      </c>
      <c r="E29" s="250"/>
      <c r="F29" s="250"/>
      <c r="G29" s="250">
        <f t="shared" si="0"/>
        <v>0</v>
      </c>
      <c r="H29" s="251">
        <v>18</v>
      </c>
      <c r="I29" s="272" t="s">
        <v>131</v>
      </c>
      <c r="J29" s="273">
        <f t="shared" si="1"/>
        <v>0</v>
      </c>
      <c r="K29" s="273">
        <v>60</v>
      </c>
    </row>
    <row r="30" spans="1:11">
      <c r="A30" s="248" t="s">
        <v>183</v>
      </c>
      <c r="B30" s="249" t="s">
        <v>184</v>
      </c>
      <c r="C30" s="248">
        <v>3919</v>
      </c>
      <c r="D30" s="250">
        <v>0</v>
      </c>
      <c r="E30" s="250"/>
      <c r="F30" s="250"/>
      <c r="G30" s="250">
        <f t="shared" si="0"/>
        <v>0</v>
      </c>
      <c r="H30" s="251">
        <v>18</v>
      </c>
      <c r="I30" s="272" t="s">
        <v>131</v>
      </c>
      <c r="J30" s="273">
        <f t="shared" si="1"/>
        <v>0</v>
      </c>
      <c r="K30" s="273"/>
    </row>
    <row r="31" spans="1:11">
      <c r="A31" s="248" t="s">
        <v>185</v>
      </c>
      <c r="B31" s="249" t="s">
        <v>186</v>
      </c>
      <c r="C31" s="248">
        <v>3919</v>
      </c>
      <c r="D31" s="250">
        <v>0</v>
      </c>
      <c r="E31" s="250"/>
      <c r="F31" s="250"/>
      <c r="G31" s="250">
        <f t="shared" si="0"/>
        <v>0</v>
      </c>
      <c r="H31" s="251">
        <v>18</v>
      </c>
      <c r="I31" s="272" t="s">
        <v>131</v>
      </c>
      <c r="J31" s="273">
        <f t="shared" si="1"/>
        <v>0</v>
      </c>
      <c r="K31" s="273"/>
    </row>
    <row r="32" spans="1:11">
      <c r="A32" s="248" t="s">
        <v>187</v>
      </c>
      <c r="B32" s="249" t="s">
        <v>188</v>
      </c>
      <c r="C32" s="248">
        <v>3919</v>
      </c>
      <c r="D32" s="250">
        <v>0</v>
      </c>
      <c r="E32" s="250"/>
      <c r="F32" s="250"/>
      <c r="G32" s="250">
        <f t="shared" si="0"/>
        <v>0</v>
      </c>
      <c r="H32" s="251">
        <v>18</v>
      </c>
      <c r="I32" s="272" t="s">
        <v>131</v>
      </c>
      <c r="J32" s="273">
        <f t="shared" si="1"/>
        <v>0</v>
      </c>
      <c r="K32" s="273"/>
    </row>
    <row r="33" spans="1:11">
      <c r="A33" s="248" t="s">
        <v>189</v>
      </c>
      <c r="B33" s="266" t="s">
        <v>190</v>
      </c>
      <c r="C33" s="248">
        <v>3919</v>
      </c>
      <c r="D33" s="250">
        <v>0</v>
      </c>
      <c r="E33" s="250"/>
      <c r="F33" s="250"/>
      <c r="G33" s="250">
        <f t="shared" si="0"/>
        <v>0</v>
      </c>
      <c r="H33" s="251">
        <v>18</v>
      </c>
      <c r="I33" s="272" t="s">
        <v>131</v>
      </c>
      <c r="J33" s="273">
        <f t="shared" si="1"/>
        <v>0</v>
      </c>
      <c r="K33" s="273"/>
    </row>
    <row r="34" spans="1:11">
      <c r="A34" s="248" t="s">
        <v>191</v>
      </c>
      <c r="B34" s="266" t="s">
        <v>192</v>
      </c>
      <c r="C34" s="248">
        <v>3919</v>
      </c>
      <c r="D34" s="250">
        <v>0</v>
      </c>
      <c r="E34" s="250"/>
      <c r="F34" s="250"/>
      <c r="G34" s="250">
        <f t="shared" si="0"/>
        <v>0</v>
      </c>
      <c r="H34" s="251">
        <v>18</v>
      </c>
      <c r="I34" s="272" t="s">
        <v>131</v>
      </c>
      <c r="J34" s="273">
        <f t="shared" si="1"/>
        <v>0</v>
      </c>
      <c r="K34" s="273"/>
    </row>
    <row r="35" spans="1:11">
      <c r="A35" s="248" t="s">
        <v>193</v>
      </c>
      <c r="B35" s="248" t="s">
        <v>194</v>
      </c>
      <c r="C35" s="248">
        <v>85469010</v>
      </c>
      <c r="D35" s="250">
        <v>0</v>
      </c>
      <c r="E35" s="250"/>
      <c r="F35" s="250"/>
      <c r="G35" s="250">
        <f t="shared" si="0"/>
        <v>0</v>
      </c>
      <c r="H35" s="251">
        <v>18</v>
      </c>
      <c r="I35" s="272" t="s">
        <v>131</v>
      </c>
      <c r="J35" s="273">
        <f t="shared" si="1"/>
        <v>0</v>
      </c>
      <c r="K35" s="273">
        <v>1.1</v>
      </c>
    </row>
    <row r="36" spans="1:11">
      <c r="A36" s="248" t="s">
        <v>195</v>
      </c>
      <c r="B36" s="248" t="s">
        <v>196</v>
      </c>
      <c r="C36" s="248">
        <v>85469010</v>
      </c>
      <c r="D36" s="250">
        <v>0</v>
      </c>
      <c r="E36" s="250"/>
      <c r="F36" s="250"/>
      <c r="G36" s="250">
        <f t="shared" si="0"/>
        <v>0</v>
      </c>
      <c r="H36" s="251">
        <v>18</v>
      </c>
      <c r="I36" s="272" t="s">
        <v>131</v>
      </c>
      <c r="J36" s="273">
        <f t="shared" si="1"/>
        <v>0</v>
      </c>
      <c r="K36" s="273">
        <v>1.1</v>
      </c>
    </row>
    <row r="37" spans="1:11">
      <c r="A37" s="248" t="s">
        <v>197</v>
      </c>
      <c r="B37" s="248" t="s">
        <v>198</v>
      </c>
      <c r="C37" s="248">
        <v>85469010</v>
      </c>
      <c r="D37" s="250">
        <v>0</v>
      </c>
      <c r="E37" s="250"/>
      <c r="F37" s="250"/>
      <c r="G37" s="250">
        <f t="shared" si="0"/>
        <v>0</v>
      </c>
      <c r="H37" s="251">
        <v>18</v>
      </c>
      <c r="I37" s="272" t="s">
        <v>131</v>
      </c>
      <c r="J37" s="273">
        <f t="shared" si="1"/>
        <v>0</v>
      </c>
      <c r="K37" s="273">
        <v>1.1</v>
      </c>
    </row>
    <row r="38" spans="1:11">
      <c r="A38" s="248" t="s">
        <v>199</v>
      </c>
      <c r="B38" s="248" t="s">
        <v>200</v>
      </c>
      <c r="C38" s="248">
        <v>85469010</v>
      </c>
      <c r="D38" s="250">
        <v>0</v>
      </c>
      <c r="E38" s="250"/>
      <c r="F38" s="250"/>
      <c r="G38" s="250">
        <f t="shared" si="0"/>
        <v>0</v>
      </c>
      <c r="H38" s="251">
        <v>18</v>
      </c>
      <c r="I38" s="272" t="s">
        <v>131</v>
      </c>
      <c r="J38" s="273">
        <f t="shared" si="1"/>
        <v>0</v>
      </c>
      <c r="K38" s="273">
        <v>1</v>
      </c>
    </row>
    <row r="39" spans="1:11">
      <c r="A39" s="248" t="s">
        <v>201</v>
      </c>
      <c r="B39" s="248" t="s">
        <v>202</v>
      </c>
      <c r="C39" s="248">
        <v>85469010</v>
      </c>
      <c r="D39" s="250">
        <v>0</v>
      </c>
      <c r="E39" s="250"/>
      <c r="F39" s="250"/>
      <c r="G39" s="250">
        <f t="shared" si="0"/>
        <v>0</v>
      </c>
      <c r="H39" s="251">
        <v>18</v>
      </c>
      <c r="I39" s="272" t="s">
        <v>131</v>
      </c>
      <c r="J39" s="273">
        <f t="shared" si="1"/>
        <v>0</v>
      </c>
      <c r="K39" s="273">
        <v>1</v>
      </c>
    </row>
    <row r="40" spans="1:11">
      <c r="A40" s="248" t="s">
        <v>203</v>
      </c>
      <c r="B40" s="248" t="s">
        <v>204</v>
      </c>
      <c r="C40" s="248">
        <v>39191000</v>
      </c>
      <c r="D40" s="250">
        <v>0</v>
      </c>
      <c r="E40" s="250"/>
      <c r="F40" s="250"/>
      <c r="G40" s="250">
        <f t="shared" si="0"/>
        <v>0</v>
      </c>
      <c r="H40" s="251">
        <v>18</v>
      </c>
      <c r="I40" s="272" t="s">
        <v>131</v>
      </c>
      <c r="J40" s="273">
        <f t="shared" si="1"/>
        <v>0</v>
      </c>
      <c r="K40" s="273">
        <v>1.18</v>
      </c>
    </row>
    <row r="41" spans="1:11">
      <c r="A41" s="248" t="s">
        <v>205</v>
      </c>
      <c r="B41" s="254" t="s">
        <v>206</v>
      </c>
      <c r="C41" s="248">
        <v>85469010</v>
      </c>
      <c r="D41" s="250">
        <v>0</v>
      </c>
      <c r="E41" s="250"/>
      <c r="F41" s="250"/>
      <c r="G41" s="250">
        <f t="shared" si="0"/>
        <v>0</v>
      </c>
      <c r="H41" s="251">
        <v>18</v>
      </c>
      <c r="I41" s="272" t="s">
        <v>131</v>
      </c>
      <c r="J41" s="273">
        <f t="shared" si="1"/>
        <v>0</v>
      </c>
      <c r="K41" s="273">
        <v>1.13</v>
      </c>
    </row>
    <row r="42" spans="1:11">
      <c r="A42" s="248" t="s">
        <v>207</v>
      </c>
      <c r="B42" s="254" t="s">
        <v>208</v>
      </c>
      <c r="C42" s="248">
        <v>85469010</v>
      </c>
      <c r="D42" s="250">
        <v>1350</v>
      </c>
      <c r="E42" s="250"/>
      <c r="F42" s="250"/>
      <c r="G42" s="250">
        <f t="shared" si="0"/>
        <v>1350</v>
      </c>
      <c r="H42" s="251">
        <v>18</v>
      </c>
      <c r="I42" s="272" t="s">
        <v>131</v>
      </c>
      <c r="J42" s="273">
        <f t="shared" si="1"/>
        <v>1593</v>
      </c>
      <c r="K42" s="273">
        <v>1</v>
      </c>
    </row>
    <row r="43" spans="1:11">
      <c r="A43" s="248" t="s">
        <v>209</v>
      </c>
      <c r="B43" s="249" t="s">
        <v>210</v>
      </c>
      <c r="C43" s="248">
        <v>85469010</v>
      </c>
      <c r="D43" s="250">
        <v>0</v>
      </c>
      <c r="E43" s="250"/>
      <c r="F43" s="250"/>
      <c r="G43" s="250">
        <f t="shared" si="0"/>
        <v>0</v>
      </c>
      <c r="H43" s="251">
        <v>18</v>
      </c>
      <c r="I43" s="272" t="s">
        <v>211</v>
      </c>
      <c r="J43" s="273">
        <f t="shared" si="1"/>
        <v>0</v>
      </c>
      <c r="K43" s="273"/>
    </row>
    <row r="44" spans="1:11">
      <c r="A44" s="248" t="s">
        <v>212</v>
      </c>
      <c r="B44" s="249" t="s">
        <v>213</v>
      </c>
      <c r="C44" s="248">
        <v>85469010</v>
      </c>
      <c r="D44" s="250">
        <v>400</v>
      </c>
      <c r="E44" s="250"/>
      <c r="F44" s="250"/>
      <c r="G44" s="250">
        <f t="shared" si="0"/>
        <v>400</v>
      </c>
      <c r="H44" s="251">
        <v>18</v>
      </c>
      <c r="I44" s="272" t="s">
        <v>211</v>
      </c>
      <c r="J44" s="273">
        <f t="shared" si="1"/>
        <v>1368.8</v>
      </c>
      <c r="K44" s="273">
        <v>2.9</v>
      </c>
    </row>
    <row r="45" spans="1:12">
      <c r="A45" s="248" t="s">
        <v>214</v>
      </c>
      <c r="B45" s="249" t="s">
        <v>215</v>
      </c>
      <c r="C45" s="248">
        <v>85469010</v>
      </c>
      <c r="D45" s="250">
        <v>0</v>
      </c>
      <c r="E45" s="250"/>
      <c r="F45" s="250"/>
      <c r="G45" s="250">
        <f t="shared" si="0"/>
        <v>0</v>
      </c>
      <c r="H45" s="251">
        <v>18</v>
      </c>
      <c r="I45" s="272" t="s">
        <v>211</v>
      </c>
      <c r="J45" s="273">
        <f t="shared" si="1"/>
        <v>0</v>
      </c>
      <c r="K45" s="273">
        <v>2.5</v>
      </c>
      <c r="L45" s="278"/>
    </row>
    <row r="46" spans="1:11">
      <c r="A46" s="248" t="s">
        <v>216</v>
      </c>
      <c r="B46" s="249" t="s">
        <v>217</v>
      </c>
      <c r="C46" s="248">
        <v>85469010</v>
      </c>
      <c r="D46" s="250">
        <v>400</v>
      </c>
      <c r="E46" s="250">
        <f>1600+1600</f>
        <v>3200</v>
      </c>
      <c r="F46" s="250">
        <f>400+400+400+400+400+800+400</f>
        <v>3200</v>
      </c>
      <c r="G46" s="250">
        <f t="shared" si="0"/>
        <v>400</v>
      </c>
      <c r="H46" s="251">
        <v>18</v>
      </c>
      <c r="I46" s="272" t="s">
        <v>211</v>
      </c>
      <c r="J46" s="273">
        <f t="shared" si="1"/>
        <v>1888</v>
      </c>
      <c r="K46" s="273">
        <v>4</v>
      </c>
    </row>
    <row r="47" spans="1:11">
      <c r="A47" s="248" t="s">
        <v>218</v>
      </c>
      <c r="B47" s="249" t="s">
        <v>219</v>
      </c>
      <c r="C47" s="248">
        <v>85469010</v>
      </c>
      <c r="D47" s="250">
        <v>0</v>
      </c>
      <c r="E47" s="250"/>
      <c r="F47" s="250"/>
      <c r="G47" s="250">
        <f t="shared" si="0"/>
        <v>0</v>
      </c>
      <c r="H47" s="251">
        <v>18</v>
      </c>
      <c r="I47" s="272" t="s">
        <v>211</v>
      </c>
      <c r="J47" s="273">
        <f t="shared" si="1"/>
        <v>0</v>
      </c>
      <c r="K47" s="273">
        <v>5</v>
      </c>
    </row>
    <row r="48" spans="1:11">
      <c r="A48" s="248" t="s">
        <v>220</v>
      </c>
      <c r="B48" s="249" t="s">
        <v>221</v>
      </c>
      <c r="C48" s="248">
        <v>85469010</v>
      </c>
      <c r="D48" s="250">
        <v>600</v>
      </c>
      <c r="E48" s="250">
        <v>800</v>
      </c>
      <c r="F48" s="250">
        <f>200+400+400+400</f>
        <v>1400</v>
      </c>
      <c r="G48" s="250">
        <f t="shared" si="0"/>
        <v>0</v>
      </c>
      <c r="H48" s="251">
        <v>18</v>
      </c>
      <c r="I48" s="272" t="s">
        <v>211</v>
      </c>
      <c r="J48" s="273">
        <f t="shared" si="1"/>
        <v>0</v>
      </c>
      <c r="K48" s="273">
        <v>6</v>
      </c>
    </row>
    <row r="49" spans="1:11">
      <c r="A49" s="248" t="s">
        <v>222</v>
      </c>
      <c r="B49" s="249" t="s">
        <v>223</v>
      </c>
      <c r="C49" s="248">
        <v>85469010</v>
      </c>
      <c r="D49" s="250">
        <v>100</v>
      </c>
      <c r="E49" s="250"/>
      <c r="F49" s="250"/>
      <c r="G49" s="250">
        <f t="shared" si="0"/>
        <v>100</v>
      </c>
      <c r="H49" s="251">
        <v>18</v>
      </c>
      <c r="I49" s="272" t="s">
        <v>211</v>
      </c>
      <c r="J49" s="273">
        <f t="shared" si="1"/>
        <v>601.8</v>
      </c>
      <c r="K49" s="273">
        <v>5.1</v>
      </c>
    </row>
    <row r="50" spans="1:11">
      <c r="A50" s="248" t="s">
        <v>224</v>
      </c>
      <c r="B50" s="249" t="s">
        <v>225</v>
      </c>
      <c r="C50" s="248">
        <v>85469010</v>
      </c>
      <c r="D50" s="250">
        <v>0</v>
      </c>
      <c r="E50" s="250">
        <f>2600+2600+2600+2600+2600+1300+2600+2600+3900</f>
        <v>23400</v>
      </c>
      <c r="F50" s="250">
        <f>2600+2600+2600+2600+2600+1300+2600+1300+1300+2600</f>
        <v>22100</v>
      </c>
      <c r="G50" s="250">
        <f t="shared" si="0"/>
        <v>1300</v>
      </c>
      <c r="H50" s="251">
        <v>18</v>
      </c>
      <c r="I50" s="272" t="s">
        <v>211</v>
      </c>
      <c r="J50" s="273">
        <f t="shared" si="1"/>
        <v>9280.7</v>
      </c>
      <c r="K50" s="273">
        <v>6.05</v>
      </c>
    </row>
    <row r="51" spans="1:11">
      <c r="A51" s="248" t="s">
        <v>226</v>
      </c>
      <c r="B51" s="249" t="s">
        <v>227</v>
      </c>
      <c r="C51" s="248">
        <v>85469010</v>
      </c>
      <c r="D51" s="250">
        <v>0</v>
      </c>
      <c r="E51" s="250">
        <f>1100+1100+1100+1100+2200</f>
        <v>6600</v>
      </c>
      <c r="F51" s="250">
        <f>1100+1100+1100+1100+1100</f>
        <v>5500</v>
      </c>
      <c r="G51" s="250">
        <f t="shared" si="0"/>
        <v>1100</v>
      </c>
      <c r="H51" s="251">
        <v>18</v>
      </c>
      <c r="I51" s="272" t="s">
        <v>211</v>
      </c>
      <c r="J51" s="273">
        <f t="shared" si="1"/>
        <v>9306.66</v>
      </c>
      <c r="K51" s="273">
        <v>7.17</v>
      </c>
    </row>
    <row r="52" spans="1:11">
      <c r="A52" s="248" t="s">
        <v>228</v>
      </c>
      <c r="B52" s="249" t="s">
        <v>229</v>
      </c>
      <c r="C52" s="248">
        <v>85469010</v>
      </c>
      <c r="D52" s="250">
        <v>0</v>
      </c>
      <c r="E52" s="250"/>
      <c r="F52" s="250"/>
      <c r="G52" s="250">
        <f t="shared" si="0"/>
        <v>0</v>
      </c>
      <c r="H52" s="251">
        <v>18</v>
      </c>
      <c r="I52" s="272" t="s">
        <v>211</v>
      </c>
      <c r="J52" s="273">
        <f t="shared" si="1"/>
        <v>0</v>
      </c>
      <c r="K52" s="273">
        <v>8.11</v>
      </c>
    </row>
    <row r="53" spans="1:11">
      <c r="A53" s="248" t="s">
        <v>230</v>
      </c>
      <c r="B53" s="249" t="s">
        <v>231</v>
      </c>
      <c r="C53" s="248">
        <v>85469010</v>
      </c>
      <c r="D53" s="250">
        <v>0</v>
      </c>
      <c r="E53" s="250">
        <v>100</v>
      </c>
      <c r="F53" s="250">
        <v>100</v>
      </c>
      <c r="G53" s="250">
        <f t="shared" si="0"/>
        <v>0</v>
      </c>
      <c r="H53" s="251">
        <v>18</v>
      </c>
      <c r="I53" s="272" t="s">
        <v>211</v>
      </c>
      <c r="J53" s="273">
        <f t="shared" si="1"/>
        <v>0</v>
      </c>
      <c r="K53" s="273">
        <v>16.5</v>
      </c>
    </row>
    <row r="54" spans="1:11">
      <c r="A54" s="248" t="s">
        <v>232</v>
      </c>
      <c r="B54" s="249" t="s">
        <v>233</v>
      </c>
      <c r="C54" s="248">
        <v>85469010</v>
      </c>
      <c r="D54" s="250">
        <v>0</v>
      </c>
      <c r="E54" s="250"/>
      <c r="F54" s="250"/>
      <c r="G54" s="250">
        <f t="shared" si="0"/>
        <v>0</v>
      </c>
      <c r="H54" s="251">
        <v>18</v>
      </c>
      <c r="I54" s="272" t="s">
        <v>211</v>
      </c>
      <c r="J54" s="273">
        <f t="shared" si="1"/>
        <v>0</v>
      </c>
      <c r="K54" s="273">
        <v>20.98</v>
      </c>
    </row>
    <row r="55" spans="1:11">
      <c r="A55" s="248" t="s">
        <v>234</v>
      </c>
      <c r="B55" s="249" t="s">
        <v>235</v>
      </c>
      <c r="C55" s="248">
        <v>85469010</v>
      </c>
      <c r="D55" s="250">
        <v>0</v>
      </c>
      <c r="E55" s="250"/>
      <c r="F55" s="250"/>
      <c r="G55" s="250">
        <f t="shared" si="0"/>
        <v>0</v>
      </c>
      <c r="H55" s="251">
        <v>18</v>
      </c>
      <c r="I55" s="272" t="s">
        <v>211</v>
      </c>
      <c r="J55" s="273">
        <f t="shared" si="1"/>
        <v>0</v>
      </c>
      <c r="K55" s="273"/>
    </row>
    <row r="56" spans="1:11">
      <c r="A56" s="248" t="s">
        <v>236</v>
      </c>
      <c r="B56" s="249" t="s">
        <v>237</v>
      </c>
      <c r="C56" s="248">
        <v>85469010</v>
      </c>
      <c r="D56" s="250">
        <v>0</v>
      </c>
      <c r="E56" s="250"/>
      <c r="F56" s="250"/>
      <c r="G56" s="250">
        <f t="shared" si="0"/>
        <v>0</v>
      </c>
      <c r="H56" s="251">
        <v>18</v>
      </c>
      <c r="I56" s="272" t="s">
        <v>211</v>
      </c>
      <c r="J56" s="273">
        <f t="shared" si="1"/>
        <v>0</v>
      </c>
      <c r="K56" s="273">
        <v>32</v>
      </c>
    </row>
    <row r="57" spans="1:11">
      <c r="A57" s="267" t="s">
        <v>238</v>
      </c>
      <c r="B57" s="268" t="s">
        <v>239</v>
      </c>
      <c r="C57" s="267">
        <v>85469010</v>
      </c>
      <c r="D57" s="257">
        <v>0</v>
      </c>
      <c r="E57" s="257"/>
      <c r="F57" s="257"/>
      <c r="G57" s="250">
        <f t="shared" si="0"/>
        <v>0</v>
      </c>
      <c r="H57" s="251">
        <v>18</v>
      </c>
      <c r="I57" s="279" t="s">
        <v>211</v>
      </c>
      <c r="J57" s="273">
        <f t="shared" si="1"/>
        <v>0</v>
      </c>
      <c r="K57" s="273">
        <v>3.88</v>
      </c>
    </row>
    <row r="58" spans="1:11">
      <c r="A58" s="267" t="s">
        <v>240</v>
      </c>
      <c r="B58" s="268" t="s">
        <v>241</v>
      </c>
      <c r="C58" s="267">
        <v>85469010</v>
      </c>
      <c r="D58" s="257">
        <v>0</v>
      </c>
      <c r="E58" s="257"/>
      <c r="F58" s="257"/>
      <c r="G58" s="250">
        <f t="shared" si="0"/>
        <v>0</v>
      </c>
      <c r="H58" s="251">
        <v>18</v>
      </c>
      <c r="I58" s="279" t="s">
        <v>211</v>
      </c>
      <c r="J58" s="273">
        <f t="shared" si="1"/>
        <v>0</v>
      </c>
      <c r="K58" s="273">
        <v>50</v>
      </c>
    </row>
    <row r="59" spans="1:11">
      <c r="A59" s="254" t="s">
        <v>242</v>
      </c>
      <c r="B59" s="249" t="s">
        <v>243</v>
      </c>
      <c r="C59" s="254">
        <v>85469010</v>
      </c>
      <c r="D59" s="269">
        <v>0</v>
      </c>
      <c r="E59" s="269"/>
      <c r="F59" s="269"/>
      <c r="G59" s="250">
        <f t="shared" si="0"/>
        <v>0</v>
      </c>
      <c r="H59" s="251">
        <v>18</v>
      </c>
      <c r="I59" s="280" t="s">
        <v>211</v>
      </c>
      <c r="J59" s="273">
        <f t="shared" si="1"/>
        <v>0</v>
      </c>
      <c r="K59" s="273">
        <v>86</v>
      </c>
    </row>
    <row r="60" spans="1:12">
      <c r="A60" s="254" t="s">
        <v>244</v>
      </c>
      <c r="B60" s="249" t="s">
        <v>245</v>
      </c>
      <c r="C60" s="254">
        <v>85469010</v>
      </c>
      <c r="D60" s="269">
        <v>0</v>
      </c>
      <c r="E60" s="269"/>
      <c r="F60" s="269"/>
      <c r="G60" s="250">
        <f t="shared" si="0"/>
        <v>0</v>
      </c>
      <c r="H60" s="251">
        <v>18</v>
      </c>
      <c r="I60" s="280" t="s">
        <v>211</v>
      </c>
      <c r="J60" s="273">
        <f t="shared" si="1"/>
        <v>0</v>
      </c>
      <c r="K60" s="273">
        <v>87</v>
      </c>
      <c r="L60" s="281"/>
    </row>
    <row r="61" spans="1:12">
      <c r="A61" s="254" t="s">
        <v>246</v>
      </c>
      <c r="B61" s="249" t="s">
        <v>247</v>
      </c>
      <c r="C61" s="254">
        <v>85469010</v>
      </c>
      <c r="D61" s="269">
        <v>0</v>
      </c>
      <c r="E61" s="269"/>
      <c r="F61" s="269"/>
      <c r="G61" s="250">
        <f t="shared" si="0"/>
        <v>0</v>
      </c>
      <c r="H61" s="251">
        <v>18</v>
      </c>
      <c r="I61" s="280" t="s">
        <v>211</v>
      </c>
      <c r="J61" s="273">
        <f t="shared" si="1"/>
        <v>0</v>
      </c>
      <c r="K61" s="273">
        <v>5.3</v>
      </c>
      <c r="L61" s="281"/>
    </row>
    <row r="62" spans="1:12">
      <c r="A62" s="254" t="s">
        <v>248</v>
      </c>
      <c r="B62" s="249" t="s">
        <v>249</v>
      </c>
      <c r="C62" s="254">
        <v>85469010</v>
      </c>
      <c r="D62" s="269">
        <v>0</v>
      </c>
      <c r="E62" s="269"/>
      <c r="F62" s="269"/>
      <c r="G62" s="250">
        <f t="shared" si="0"/>
        <v>0</v>
      </c>
      <c r="H62" s="251">
        <v>18</v>
      </c>
      <c r="I62" s="280" t="s">
        <v>211</v>
      </c>
      <c r="J62" s="273">
        <f t="shared" si="1"/>
        <v>0</v>
      </c>
      <c r="K62" s="273">
        <v>20.5</v>
      </c>
      <c r="L62" s="281"/>
    </row>
    <row r="63" spans="1:12">
      <c r="A63" s="254" t="s">
        <v>250</v>
      </c>
      <c r="B63" s="249" t="s">
        <v>251</v>
      </c>
      <c r="C63" s="254">
        <v>85469010</v>
      </c>
      <c r="D63" s="269">
        <v>0</v>
      </c>
      <c r="E63" s="269"/>
      <c r="F63" s="269"/>
      <c r="G63" s="250">
        <f t="shared" si="0"/>
        <v>0</v>
      </c>
      <c r="H63" s="251">
        <v>18</v>
      </c>
      <c r="I63" s="280" t="s">
        <v>211</v>
      </c>
      <c r="J63" s="273">
        <f t="shared" si="1"/>
        <v>0</v>
      </c>
      <c r="K63" s="273">
        <v>19</v>
      </c>
      <c r="L63" s="281"/>
    </row>
    <row r="64" spans="1:11">
      <c r="A64" s="254" t="s">
        <v>252</v>
      </c>
      <c r="B64" s="249" t="s">
        <v>253</v>
      </c>
      <c r="C64" s="254">
        <v>85469010</v>
      </c>
      <c r="D64" s="269">
        <v>1000</v>
      </c>
      <c r="E64" s="269">
        <f>1000+1000</f>
        <v>2000</v>
      </c>
      <c r="F64" s="269">
        <f>1000+500+500+1000</f>
        <v>3000</v>
      </c>
      <c r="G64" s="250">
        <f t="shared" si="0"/>
        <v>0</v>
      </c>
      <c r="H64" s="251">
        <v>18</v>
      </c>
      <c r="I64" s="280" t="s">
        <v>211</v>
      </c>
      <c r="J64" s="273">
        <f t="shared" si="1"/>
        <v>0</v>
      </c>
      <c r="K64" s="273">
        <v>24</v>
      </c>
    </row>
    <row r="65" spans="1:11">
      <c r="A65" s="254" t="s">
        <v>254</v>
      </c>
      <c r="B65" s="249" t="s">
        <v>255</v>
      </c>
      <c r="C65" s="254">
        <v>85469010</v>
      </c>
      <c r="D65" s="269">
        <v>0</v>
      </c>
      <c r="E65" s="269"/>
      <c r="F65" s="269"/>
      <c r="G65" s="250">
        <f t="shared" si="0"/>
        <v>0</v>
      </c>
      <c r="H65" s="251">
        <v>18</v>
      </c>
      <c r="I65" s="280" t="s">
        <v>211</v>
      </c>
      <c r="J65" s="273">
        <f t="shared" si="1"/>
        <v>0</v>
      </c>
      <c r="K65" s="273">
        <v>29</v>
      </c>
    </row>
    <row r="66" spans="1:11">
      <c r="A66" s="254" t="s">
        <v>256</v>
      </c>
      <c r="B66" s="249" t="s">
        <v>257</v>
      </c>
      <c r="C66" s="254">
        <v>85469010</v>
      </c>
      <c r="D66" s="269">
        <v>0</v>
      </c>
      <c r="E66" s="269"/>
      <c r="F66" s="269"/>
      <c r="G66" s="250">
        <f t="shared" si="0"/>
        <v>0</v>
      </c>
      <c r="H66" s="251">
        <v>18</v>
      </c>
      <c r="I66" s="280" t="s">
        <v>211</v>
      </c>
      <c r="J66" s="273">
        <f t="shared" si="1"/>
        <v>0</v>
      </c>
      <c r="K66" s="273">
        <v>3.73</v>
      </c>
    </row>
    <row r="67" spans="1:11">
      <c r="A67" s="254" t="s">
        <v>258</v>
      </c>
      <c r="B67" s="249" t="s">
        <v>259</v>
      </c>
      <c r="C67" s="254">
        <v>34039900</v>
      </c>
      <c r="D67" s="269">
        <v>0</v>
      </c>
      <c r="E67" s="269"/>
      <c r="F67" s="269"/>
      <c r="G67" s="250">
        <f t="shared" ref="G67:G130" si="2">+D67+E67-F67</f>
        <v>0</v>
      </c>
      <c r="H67" s="251">
        <v>18</v>
      </c>
      <c r="I67" s="280" t="s">
        <v>160</v>
      </c>
      <c r="J67" s="273">
        <f t="shared" ref="J67:J130" si="3">+G67*K67+G67*K67*H67%</f>
        <v>0</v>
      </c>
      <c r="K67" s="273">
        <v>515</v>
      </c>
    </row>
    <row r="68" spans="1:11">
      <c r="A68" s="254" t="s">
        <v>260</v>
      </c>
      <c r="B68" s="254" t="s">
        <v>261</v>
      </c>
      <c r="C68" s="254">
        <v>9025</v>
      </c>
      <c r="D68" s="269">
        <v>0</v>
      </c>
      <c r="E68" s="269"/>
      <c r="F68" s="269"/>
      <c r="G68" s="250">
        <f t="shared" si="2"/>
        <v>0</v>
      </c>
      <c r="H68" s="251">
        <v>18</v>
      </c>
      <c r="I68" s="280" t="s">
        <v>131</v>
      </c>
      <c r="J68" s="273">
        <f t="shared" si="3"/>
        <v>0</v>
      </c>
      <c r="K68" s="273">
        <v>900</v>
      </c>
    </row>
    <row r="69" spans="1:11">
      <c r="A69" s="249" t="s">
        <v>262</v>
      </c>
      <c r="B69" s="249" t="s">
        <v>263</v>
      </c>
      <c r="C69" s="254">
        <v>85469010</v>
      </c>
      <c r="D69" s="269">
        <v>50</v>
      </c>
      <c r="E69" s="269"/>
      <c r="F69" s="269"/>
      <c r="G69" s="250">
        <f t="shared" si="2"/>
        <v>50</v>
      </c>
      <c r="H69" s="251">
        <v>18</v>
      </c>
      <c r="I69" s="280" t="s">
        <v>211</v>
      </c>
      <c r="J69" s="273">
        <f t="shared" si="3"/>
        <v>2082.11</v>
      </c>
      <c r="K69" s="273">
        <v>35.29</v>
      </c>
    </row>
    <row r="70" spans="1:11">
      <c r="A70" s="249" t="s">
        <v>264</v>
      </c>
      <c r="B70" s="249" t="s">
        <v>265</v>
      </c>
      <c r="C70" s="254">
        <v>85469010</v>
      </c>
      <c r="D70" s="269">
        <v>50</v>
      </c>
      <c r="E70" s="269"/>
      <c r="F70" s="269"/>
      <c r="G70" s="250">
        <f t="shared" si="2"/>
        <v>50</v>
      </c>
      <c r="H70" s="251">
        <v>18</v>
      </c>
      <c r="I70" s="280" t="s">
        <v>211</v>
      </c>
      <c r="J70" s="273">
        <f t="shared" si="3"/>
        <v>3392.5</v>
      </c>
      <c r="K70" s="273">
        <v>57.5</v>
      </c>
    </row>
    <row r="71" spans="1:11">
      <c r="A71" s="254" t="s">
        <v>266</v>
      </c>
      <c r="B71" s="254" t="s">
        <v>267</v>
      </c>
      <c r="C71" s="254">
        <v>9025</v>
      </c>
      <c r="D71" s="269">
        <v>0</v>
      </c>
      <c r="E71" s="269"/>
      <c r="F71" s="269"/>
      <c r="G71" s="250">
        <f t="shared" si="2"/>
        <v>0</v>
      </c>
      <c r="H71" s="251">
        <v>18</v>
      </c>
      <c r="I71" s="280" t="s">
        <v>131</v>
      </c>
      <c r="J71" s="273">
        <f t="shared" si="3"/>
        <v>0</v>
      </c>
      <c r="K71" s="273">
        <v>678</v>
      </c>
    </row>
    <row r="72" spans="1:11">
      <c r="A72" s="254" t="s">
        <v>268</v>
      </c>
      <c r="B72" s="254" t="s">
        <v>269</v>
      </c>
      <c r="C72" s="254">
        <v>32141000</v>
      </c>
      <c r="D72" s="269">
        <v>0</v>
      </c>
      <c r="E72" s="269">
        <f>20+20</f>
        <v>40</v>
      </c>
      <c r="F72" s="269">
        <f>20+20</f>
        <v>40</v>
      </c>
      <c r="G72" s="250">
        <f t="shared" si="2"/>
        <v>0</v>
      </c>
      <c r="H72" s="251">
        <v>18</v>
      </c>
      <c r="I72" s="280" t="s">
        <v>131</v>
      </c>
      <c r="J72" s="273">
        <f t="shared" si="3"/>
        <v>0</v>
      </c>
      <c r="K72" s="273">
        <f>350+15</f>
        <v>365</v>
      </c>
    </row>
    <row r="73" spans="1:11">
      <c r="A73" s="254" t="s">
        <v>270</v>
      </c>
      <c r="B73" s="249" t="s">
        <v>271</v>
      </c>
      <c r="C73" s="254">
        <v>39191000</v>
      </c>
      <c r="D73" s="269">
        <v>0</v>
      </c>
      <c r="E73" s="269"/>
      <c r="F73" s="269"/>
      <c r="G73" s="250">
        <f t="shared" si="2"/>
        <v>0</v>
      </c>
      <c r="H73" s="251">
        <v>18</v>
      </c>
      <c r="I73" s="280" t="s">
        <v>131</v>
      </c>
      <c r="J73" s="273">
        <f t="shared" si="3"/>
        <v>0</v>
      </c>
      <c r="K73" s="273">
        <v>216</v>
      </c>
    </row>
    <row r="74" spans="1:11">
      <c r="A74" s="254" t="s">
        <v>272</v>
      </c>
      <c r="B74" s="249" t="s">
        <v>273</v>
      </c>
      <c r="C74" s="254">
        <v>39191000</v>
      </c>
      <c r="D74" s="269">
        <v>0</v>
      </c>
      <c r="E74" s="269">
        <v>300</v>
      </c>
      <c r="F74" s="269">
        <v>300</v>
      </c>
      <c r="G74" s="250">
        <f t="shared" si="2"/>
        <v>0</v>
      </c>
      <c r="H74" s="251">
        <v>18</v>
      </c>
      <c r="I74" s="280" t="s">
        <v>211</v>
      </c>
      <c r="J74" s="273">
        <f t="shared" si="3"/>
        <v>0</v>
      </c>
      <c r="K74" s="273">
        <v>1</v>
      </c>
    </row>
    <row r="75" spans="1:11">
      <c r="A75" s="254" t="s">
        <v>274</v>
      </c>
      <c r="B75" s="252" t="s">
        <v>275</v>
      </c>
      <c r="C75" s="254">
        <v>6405</v>
      </c>
      <c r="D75" s="269">
        <v>0</v>
      </c>
      <c r="E75" s="269"/>
      <c r="F75" s="269"/>
      <c r="G75" s="250">
        <f t="shared" si="2"/>
        <v>0</v>
      </c>
      <c r="H75" s="251">
        <v>5</v>
      </c>
      <c r="I75" s="280" t="s">
        <v>276</v>
      </c>
      <c r="J75" s="273">
        <f t="shared" si="3"/>
        <v>0</v>
      </c>
      <c r="K75" s="273">
        <v>561.9</v>
      </c>
    </row>
    <row r="76" spans="1:11">
      <c r="A76" s="254" t="s">
        <v>277</v>
      </c>
      <c r="B76" s="252" t="s">
        <v>278</v>
      </c>
      <c r="C76" s="254">
        <v>6405</v>
      </c>
      <c r="D76" s="269">
        <v>0</v>
      </c>
      <c r="E76" s="269"/>
      <c r="F76" s="269"/>
      <c r="G76" s="250">
        <f t="shared" si="2"/>
        <v>0</v>
      </c>
      <c r="H76" s="251">
        <v>5</v>
      </c>
      <c r="I76" s="280" t="s">
        <v>276</v>
      </c>
      <c r="J76" s="273">
        <f t="shared" si="3"/>
        <v>0</v>
      </c>
      <c r="K76" s="273"/>
    </row>
    <row r="77" spans="1:11">
      <c r="A77" s="254" t="s">
        <v>279</v>
      </c>
      <c r="B77" s="252" t="s">
        <v>280</v>
      </c>
      <c r="C77" s="254">
        <v>6405</v>
      </c>
      <c r="D77" s="269">
        <v>0</v>
      </c>
      <c r="E77" s="269"/>
      <c r="F77" s="269"/>
      <c r="G77" s="250">
        <f t="shared" si="2"/>
        <v>0</v>
      </c>
      <c r="H77" s="251">
        <v>5</v>
      </c>
      <c r="I77" s="280" t="s">
        <v>276</v>
      </c>
      <c r="J77" s="273">
        <f t="shared" si="3"/>
        <v>0</v>
      </c>
      <c r="K77" s="273">
        <v>541.5</v>
      </c>
    </row>
    <row r="78" spans="1:11">
      <c r="A78" s="254" t="s">
        <v>281</v>
      </c>
      <c r="B78" s="252" t="s">
        <v>282</v>
      </c>
      <c r="C78" s="254">
        <v>6405</v>
      </c>
      <c r="D78" s="269">
        <v>0</v>
      </c>
      <c r="E78" s="269"/>
      <c r="F78" s="269"/>
      <c r="G78" s="250">
        <f t="shared" si="2"/>
        <v>0</v>
      </c>
      <c r="H78" s="251">
        <v>5</v>
      </c>
      <c r="I78" s="280" t="s">
        <v>276</v>
      </c>
      <c r="J78" s="273">
        <f t="shared" si="3"/>
        <v>0</v>
      </c>
      <c r="K78" s="273"/>
    </row>
    <row r="79" spans="1:11">
      <c r="A79" s="254" t="s">
        <v>283</v>
      </c>
      <c r="B79" s="252" t="s">
        <v>284</v>
      </c>
      <c r="C79" s="254">
        <v>6405</v>
      </c>
      <c r="D79" s="269">
        <v>0</v>
      </c>
      <c r="E79" s="269"/>
      <c r="F79" s="269"/>
      <c r="G79" s="250">
        <f t="shared" si="2"/>
        <v>0</v>
      </c>
      <c r="H79" s="251">
        <v>5</v>
      </c>
      <c r="I79" s="280" t="s">
        <v>276</v>
      </c>
      <c r="J79" s="273">
        <f t="shared" si="3"/>
        <v>0</v>
      </c>
      <c r="K79" s="273"/>
    </row>
    <row r="80" spans="1:11">
      <c r="A80" s="254" t="s">
        <v>285</v>
      </c>
      <c r="B80" s="252" t="s">
        <v>286</v>
      </c>
      <c r="C80" s="254">
        <v>6405</v>
      </c>
      <c r="D80" s="269">
        <v>0</v>
      </c>
      <c r="E80" s="269"/>
      <c r="F80" s="269"/>
      <c r="G80" s="250">
        <f t="shared" si="2"/>
        <v>0</v>
      </c>
      <c r="H80" s="251">
        <v>5</v>
      </c>
      <c r="I80" s="280" t="s">
        <v>276</v>
      </c>
      <c r="J80" s="273">
        <f t="shared" si="3"/>
        <v>0</v>
      </c>
      <c r="K80" s="273"/>
    </row>
    <row r="81" spans="1:11">
      <c r="A81" s="254" t="s">
        <v>287</v>
      </c>
      <c r="B81" s="252" t="s">
        <v>288</v>
      </c>
      <c r="C81" s="254">
        <v>6405</v>
      </c>
      <c r="D81" s="269">
        <v>0</v>
      </c>
      <c r="E81" s="269"/>
      <c r="F81" s="269"/>
      <c r="G81" s="250">
        <f t="shared" si="2"/>
        <v>0</v>
      </c>
      <c r="H81" s="251">
        <v>5</v>
      </c>
      <c r="I81" s="280" t="s">
        <v>276</v>
      </c>
      <c r="J81" s="273">
        <f t="shared" si="3"/>
        <v>0</v>
      </c>
      <c r="K81" s="273">
        <v>679.25</v>
      </c>
    </row>
    <row r="82" spans="1:11">
      <c r="A82" s="254" t="s">
        <v>289</v>
      </c>
      <c r="B82" s="249" t="s">
        <v>290</v>
      </c>
      <c r="C82" s="254">
        <v>85444999</v>
      </c>
      <c r="D82" s="269">
        <v>0</v>
      </c>
      <c r="E82" s="269"/>
      <c r="F82" s="269"/>
      <c r="G82" s="250">
        <f t="shared" si="2"/>
        <v>0</v>
      </c>
      <c r="H82" s="251">
        <v>18</v>
      </c>
      <c r="I82" s="280" t="s">
        <v>131</v>
      </c>
      <c r="J82" s="273">
        <f t="shared" si="3"/>
        <v>0</v>
      </c>
      <c r="K82" s="273">
        <v>25</v>
      </c>
    </row>
    <row r="83" spans="1:11">
      <c r="A83" s="254" t="s">
        <v>291</v>
      </c>
      <c r="B83" s="252" t="s">
        <v>292</v>
      </c>
      <c r="C83" s="254">
        <v>8536</v>
      </c>
      <c r="D83" s="269">
        <v>0</v>
      </c>
      <c r="E83" s="269"/>
      <c r="F83" s="269"/>
      <c r="G83" s="250">
        <f t="shared" si="2"/>
        <v>0</v>
      </c>
      <c r="H83" s="251">
        <v>18</v>
      </c>
      <c r="I83" s="280" t="s">
        <v>131</v>
      </c>
      <c r="J83" s="273">
        <f t="shared" si="3"/>
        <v>0</v>
      </c>
      <c r="K83" s="273">
        <v>1.5</v>
      </c>
    </row>
    <row r="84" spans="1:11">
      <c r="A84" s="254" t="s">
        <v>293</v>
      </c>
      <c r="B84" s="254" t="s">
        <v>294</v>
      </c>
      <c r="C84" s="260">
        <v>39269099</v>
      </c>
      <c r="D84" s="269">
        <v>0</v>
      </c>
      <c r="E84" s="269"/>
      <c r="F84" s="269"/>
      <c r="G84" s="250">
        <f t="shared" si="2"/>
        <v>0</v>
      </c>
      <c r="H84" s="251">
        <v>18</v>
      </c>
      <c r="I84" s="280" t="s">
        <v>131</v>
      </c>
      <c r="J84" s="273">
        <f t="shared" si="3"/>
        <v>0</v>
      </c>
      <c r="K84" s="273">
        <v>2.67</v>
      </c>
    </row>
    <row r="85" spans="1:11">
      <c r="A85" s="254" t="s">
        <v>295</v>
      </c>
      <c r="B85" s="254" t="s">
        <v>296</v>
      </c>
      <c r="C85" s="260">
        <v>39269099</v>
      </c>
      <c r="D85" s="269">
        <v>0</v>
      </c>
      <c r="E85" s="269"/>
      <c r="F85" s="269"/>
      <c r="G85" s="250">
        <f t="shared" si="2"/>
        <v>0</v>
      </c>
      <c r="H85" s="251">
        <v>18</v>
      </c>
      <c r="I85" s="280" t="s">
        <v>131</v>
      </c>
      <c r="J85" s="273">
        <f t="shared" si="3"/>
        <v>0</v>
      </c>
      <c r="K85" s="273"/>
    </row>
    <row r="86" spans="1:11">
      <c r="A86" s="254" t="s">
        <v>297</v>
      </c>
      <c r="B86" s="254" t="s">
        <v>298</v>
      </c>
      <c r="C86" s="260">
        <v>39269099</v>
      </c>
      <c r="D86" s="269">
        <v>0</v>
      </c>
      <c r="E86" s="269"/>
      <c r="F86" s="269"/>
      <c r="G86" s="250">
        <f t="shared" si="2"/>
        <v>0</v>
      </c>
      <c r="H86" s="251">
        <v>18</v>
      </c>
      <c r="I86" s="280" t="s">
        <v>131</v>
      </c>
      <c r="J86" s="273">
        <f t="shared" si="3"/>
        <v>0</v>
      </c>
      <c r="K86" s="273">
        <v>2.34</v>
      </c>
    </row>
    <row r="87" spans="1:11">
      <c r="A87" s="254" t="s">
        <v>299</v>
      </c>
      <c r="B87" s="252" t="s">
        <v>300</v>
      </c>
      <c r="C87" s="254">
        <v>8536</v>
      </c>
      <c r="D87" s="269">
        <v>0</v>
      </c>
      <c r="E87" s="269"/>
      <c r="F87" s="269"/>
      <c r="G87" s="250">
        <f t="shared" si="2"/>
        <v>0</v>
      </c>
      <c r="H87" s="251">
        <v>18</v>
      </c>
      <c r="I87" s="280" t="s">
        <v>131</v>
      </c>
      <c r="J87" s="273">
        <f t="shared" si="3"/>
        <v>0</v>
      </c>
      <c r="K87" s="273">
        <v>1.5</v>
      </c>
    </row>
    <row r="88" spans="1:11">
      <c r="A88" s="249" t="s">
        <v>301</v>
      </c>
      <c r="B88" s="252" t="s">
        <v>302</v>
      </c>
      <c r="C88" s="254">
        <v>3808</v>
      </c>
      <c r="D88" s="269">
        <v>0</v>
      </c>
      <c r="E88" s="269"/>
      <c r="F88" s="269"/>
      <c r="G88" s="250">
        <f t="shared" si="2"/>
        <v>0</v>
      </c>
      <c r="H88" s="251">
        <v>18</v>
      </c>
      <c r="I88" s="280" t="s">
        <v>131</v>
      </c>
      <c r="J88" s="273">
        <f t="shared" si="3"/>
        <v>0</v>
      </c>
      <c r="K88" s="273">
        <v>380</v>
      </c>
    </row>
    <row r="89" spans="1:11">
      <c r="A89" s="249" t="s">
        <v>303</v>
      </c>
      <c r="B89" s="252" t="s">
        <v>304</v>
      </c>
      <c r="C89" s="254">
        <v>3808</v>
      </c>
      <c r="D89" s="269">
        <v>0</v>
      </c>
      <c r="E89" s="269"/>
      <c r="F89" s="269"/>
      <c r="G89" s="250">
        <f t="shared" si="2"/>
        <v>0</v>
      </c>
      <c r="H89" s="251">
        <v>18</v>
      </c>
      <c r="I89" s="280" t="s">
        <v>131</v>
      </c>
      <c r="J89" s="273">
        <f t="shared" si="3"/>
        <v>0</v>
      </c>
      <c r="K89" s="273"/>
    </row>
    <row r="90" spans="1:11">
      <c r="A90" s="249" t="s">
        <v>305</v>
      </c>
      <c r="B90" s="252" t="s">
        <v>306</v>
      </c>
      <c r="C90" s="254">
        <v>3808</v>
      </c>
      <c r="D90" s="269">
        <v>0</v>
      </c>
      <c r="E90" s="269"/>
      <c r="F90" s="269"/>
      <c r="G90" s="250">
        <f t="shared" si="2"/>
        <v>0</v>
      </c>
      <c r="H90" s="251">
        <v>18</v>
      </c>
      <c r="I90" s="280" t="s">
        <v>131</v>
      </c>
      <c r="J90" s="273">
        <f t="shared" si="3"/>
        <v>0</v>
      </c>
      <c r="K90" s="273">
        <v>25.42</v>
      </c>
    </row>
    <row r="91" spans="1:11">
      <c r="A91" s="254" t="s">
        <v>307</v>
      </c>
      <c r="B91" s="254" t="s">
        <v>308</v>
      </c>
      <c r="C91" s="254">
        <v>8546</v>
      </c>
      <c r="D91" s="269">
        <v>0</v>
      </c>
      <c r="E91" s="269"/>
      <c r="F91" s="269"/>
      <c r="G91" s="250">
        <f t="shared" si="2"/>
        <v>0</v>
      </c>
      <c r="H91" s="251">
        <v>18</v>
      </c>
      <c r="I91" s="280" t="s">
        <v>211</v>
      </c>
      <c r="J91" s="273">
        <f t="shared" si="3"/>
        <v>0</v>
      </c>
      <c r="K91" s="273">
        <v>5</v>
      </c>
    </row>
    <row r="92" spans="1:11">
      <c r="A92" s="254" t="s">
        <v>309</v>
      </c>
      <c r="B92" s="254" t="s">
        <v>310</v>
      </c>
      <c r="C92" s="254">
        <v>8546</v>
      </c>
      <c r="D92" s="269">
        <v>0</v>
      </c>
      <c r="E92" s="269"/>
      <c r="F92" s="269"/>
      <c r="G92" s="250">
        <f t="shared" si="2"/>
        <v>0</v>
      </c>
      <c r="H92" s="251">
        <v>18</v>
      </c>
      <c r="I92" s="280" t="s">
        <v>211</v>
      </c>
      <c r="J92" s="273">
        <f t="shared" si="3"/>
        <v>0</v>
      </c>
      <c r="K92" s="273"/>
    </row>
    <row r="93" spans="1:11">
      <c r="A93" s="254" t="s">
        <v>311</v>
      </c>
      <c r="B93" s="254" t="s">
        <v>312</v>
      </c>
      <c r="C93" s="254">
        <v>8546</v>
      </c>
      <c r="D93" s="269">
        <v>0</v>
      </c>
      <c r="E93" s="269"/>
      <c r="F93" s="269"/>
      <c r="G93" s="250">
        <f t="shared" si="2"/>
        <v>0</v>
      </c>
      <c r="H93" s="251">
        <v>18</v>
      </c>
      <c r="I93" s="280" t="s">
        <v>211</v>
      </c>
      <c r="J93" s="273">
        <f t="shared" si="3"/>
        <v>0</v>
      </c>
      <c r="K93" s="273">
        <v>11</v>
      </c>
    </row>
    <row r="94" spans="1:11">
      <c r="A94" s="254" t="s">
        <v>313</v>
      </c>
      <c r="B94" s="254" t="s">
        <v>314</v>
      </c>
      <c r="C94" s="254">
        <v>8546</v>
      </c>
      <c r="D94" s="269">
        <v>0</v>
      </c>
      <c r="E94" s="269"/>
      <c r="F94" s="269"/>
      <c r="G94" s="250">
        <f t="shared" si="2"/>
        <v>0</v>
      </c>
      <c r="H94" s="251">
        <v>18</v>
      </c>
      <c r="I94" s="280" t="s">
        <v>211</v>
      </c>
      <c r="J94" s="273">
        <f t="shared" si="3"/>
        <v>0</v>
      </c>
      <c r="K94" s="273">
        <v>5</v>
      </c>
    </row>
    <row r="95" spans="1:11">
      <c r="A95" s="254" t="s">
        <v>315</v>
      </c>
      <c r="B95" s="254" t="s">
        <v>316</v>
      </c>
      <c r="C95" s="254">
        <v>8546</v>
      </c>
      <c r="D95" s="269">
        <v>0</v>
      </c>
      <c r="E95" s="269"/>
      <c r="F95" s="269"/>
      <c r="G95" s="250">
        <f t="shared" si="2"/>
        <v>0</v>
      </c>
      <c r="H95" s="251">
        <v>18</v>
      </c>
      <c r="I95" s="280" t="s">
        <v>211</v>
      </c>
      <c r="J95" s="273">
        <f t="shared" si="3"/>
        <v>0</v>
      </c>
      <c r="K95" s="273">
        <v>5</v>
      </c>
    </row>
    <row r="96" spans="1:11">
      <c r="A96" s="254" t="s">
        <v>317</v>
      </c>
      <c r="B96" s="254" t="s">
        <v>318</v>
      </c>
      <c r="C96" s="254">
        <v>8546</v>
      </c>
      <c r="D96" s="269">
        <v>0</v>
      </c>
      <c r="E96" s="269"/>
      <c r="F96" s="269"/>
      <c r="G96" s="250">
        <f t="shared" si="2"/>
        <v>0</v>
      </c>
      <c r="H96" s="251">
        <v>18</v>
      </c>
      <c r="I96" s="280" t="s">
        <v>211</v>
      </c>
      <c r="J96" s="273">
        <f t="shared" si="3"/>
        <v>0</v>
      </c>
      <c r="K96" s="273"/>
    </row>
    <row r="97" spans="1:11">
      <c r="A97" s="254" t="s">
        <v>319</v>
      </c>
      <c r="B97" s="254" t="s">
        <v>320</v>
      </c>
      <c r="C97" s="254">
        <v>8546</v>
      </c>
      <c r="D97" s="269">
        <v>0</v>
      </c>
      <c r="E97" s="269">
        <v>2000</v>
      </c>
      <c r="F97" s="269">
        <v>2000</v>
      </c>
      <c r="G97" s="250">
        <f t="shared" si="2"/>
        <v>0</v>
      </c>
      <c r="H97" s="251">
        <v>18</v>
      </c>
      <c r="I97" s="280" t="s">
        <v>211</v>
      </c>
      <c r="J97" s="273">
        <f t="shared" si="3"/>
        <v>0</v>
      </c>
      <c r="K97" s="273">
        <v>10</v>
      </c>
    </row>
    <row r="98" spans="1:11">
      <c r="A98" s="254" t="s">
        <v>321</v>
      </c>
      <c r="B98" s="254" t="s">
        <v>322</v>
      </c>
      <c r="C98" s="254">
        <v>38109090</v>
      </c>
      <c r="D98" s="269">
        <v>0</v>
      </c>
      <c r="E98" s="269">
        <f>10+10+10+20</f>
        <v>50</v>
      </c>
      <c r="F98" s="269">
        <f>10+10+10+20</f>
        <v>50</v>
      </c>
      <c r="G98" s="250">
        <f t="shared" si="2"/>
        <v>0</v>
      </c>
      <c r="H98" s="251">
        <v>18</v>
      </c>
      <c r="I98" s="280" t="s">
        <v>323</v>
      </c>
      <c r="J98" s="273">
        <f t="shared" si="3"/>
        <v>0</v>
      </c>
      <c r="K98" s="273">
        <v>215</v>
      </c>
    </row>
    <row r="99" spans="1:11">
      <c r="A99" s="254" t="s">
        <v>324</v>
      </c>
      <c r="B99" s="254" t="s">
        <v>325</v>
      </c>
      <c r="C99" s="254">
        <v>38109090</v>
      </c>
      <c r="D99" s="269">
        <v>0</v>
      </c>
      <c r="E99" s="269">
        <f>20+20+40+20+20+40</f>
        <v>160</v>
      </c>
      <c r="F99" s="269">
        <f>20+20+40+20+20+20+20</f>
        <v>160</v>
      </c>
      <c r="G99" s="250">
        <f t="shared" si="2"/>
        <v>0</v>
      </c>
      <c r="H99" s="251">
        <v>18</v>
      </c>
      <c r="I99" s="280" t="s">
        <v>323</v>
      </c>
      <c r="J99" s="273">
        <f t="shared" si="3"/>
        <v>0</v>
      </c>
      <c r="K99" s="273">
        <v>150</v>
      </c>
    </row>
    <row r="100" spans="1:11">
      <c r="A100" s="254" t="s">
        <v>326</v>
      </c>
      <c r="B100" s="254" t="s">
        <v>327</v>
      </c>
      <c r="C100" s="254"/>
      <c r="D100" s="269">
        <v>0</v>
      </c>
      <c r="E100" s="269"/>
      <c r="F100" s="269"/>
      <c r="G100" s="250">
        <f t="shared" si="2"/>
        <v>0</v>
      </c>
      <c r="H100" s="251">
        <v>18</v>
      </c>
      <c r="I100" s="280" t="s">
        <v>131</v>
      </c>
      <c r="J100" s="273">
        <f t="shared" si="3"/>
        <v>0</v>
      </c>
      <c r="K100" s="273">
        <v>3000</v>
      </c>
    </row>
    <row r="101" spans="1:11">
      <c r="A101" s="254" t="s">
        <v>328</v>
      </c>
      <c r="B101" s="254" t="s">
        <v>329</v>
      </c>
      <c r="C101" s="254">
        <v>83119000</v>
      </c>
      <c r="D101" s="269">
        <v>0</v>
      </c>
      <c r="E101" s="269"/>
      <c r="F101" s="269"/>
      <c r="G101" s="250">
        <f t="shared" si="2"/>
        <v>0</v>
      </c>
      <c r="H101" s="251">
        <v>18</v>
      </c>
      <c r="I101" s="280" t="s">
        <v>160</v>
      </c>
      <c r="J101" s="273">
        <f t="shared" si="3"/>
        <v>0</v>
      </c>
      <c r="K101" s="273">
        <v>6815</v>
      </c>
    </row>
    <row r="102" spans="1:11">
      <c r="A102" s="254" t="s">
        <v>330</v>
      </c>
      <c r="B102" s="254" t="s">
        <v>331</v>
      </c>
      <c r="C102" s="254">
        <v>78019990</v>
      </c>
      <c r="D102" s="269">
        <v>1.558</v>
      </c>
      <c r="E102" s="269"/>
      <c r="F102" s="269">
        <v>1.558</v>
      </c>
      <c r="G102" s="250">
        <f t="shared" si="2"/>
        <v>0</v>
      </c>
      <c r="H102" s="251">
        <v>18</v>
      </c>
      <c r="I102" s="280" t="s">
        <v>160</v>
      </c>
      <c r="J102" s="273">
        <f t="shared" si="3"/>
        <v>0</v>
      </c>
      <c r="K102" s="273">
        <v>1800</v>
      </c>
    </row>
    <row r="103" spans="1:11">
      <c r="A103" s="254" t="s">
        <v>332</v>
      </c>
      <c r="B103" s="254" t="s">
        <v>333</v>
      </c>
      <c r="C103" s="254">
        <v>83119000</v>
      </c>
      <c r="D103" s="269">
        <v>3.045</v>
      </c>
      <c r="E103" s="269">
        <f>3+4+3</f>
        <v>10</v>
      </c>
      <c r="F103" s="269">
        <f>1+2.045+3+4+1+1</f>
        <v>12.045</v>
      </c>
      <c r="G103" s="250">
        <f t="shared" si="2"/>
        <v>1</v>
      </c>
      <c r="H103" s="251">
        <v>18</v>
      </c>
      <c r="I103" s="280" t="s">
        <v>160</v>
      </c>
      <c r="J103" s="273">
        <f t="shared" si="3"/>
        <v>2124</v>
      </c>
      <c r="K103" s="273">
        <v>1800</v>
      </c>
    </row>
    <row r="104" spans="1:11">
      <c r="A104" s="254" t="s">
        <v>334</v>
      </c>
      <c r="B104" s="252" t="s">
        <v>335</v>
      </c>
      <c r="C104" s="254">
        <v>3004</v>
      </c>
      <c r="D104" s="269">
        <v>0</v>
      </c>
      <c r="E104" s="269"/>
      <c r="F104" s="269"/>
      <c r="G104" s="250">
        <f t="shared" si="2"/>
        <v>0</v>
      </c>
      <c r="H104" s="251">
        <v>18</v>
      </c>
      <c r="I104" s="280" t="s">
        <v>131</v>
      </c>
      <c r="J104" s="273">
        <f t="shared" si="3"/>
        <v>0</v>
      </c>
      <c r="K104" s="273">
        <v>150</v>
      </c>
    </row>
    <row r="105" spans="1:11">
      <c r="A105" s="254" t="s">
        <v>336</v>
      </c>
      <c r="B105" s="254" t="s">
        <v>337</v>
      </c>
      <c r="C105" s="254">
        <v>8546</v>
      </c>
      <c r="D105" s="269">
        <v>50</v>
      </c>
      <c r="E105" s="269"/>
      <c r="F105" s="269"/>
      <c r="G105" s="250">
        <f t="shared" si="2"/>
        <v>50</v>
      </c>
      <c r="H105" s="251">
        <v>18</v>
      </c>
      <c r="I105" s="280" t="s">
        <v>338</v>
      </c>
      <c r="J105" s="273">
        <f t="shared" si="3"/>
        <v>6490</v>
      </c>
      <c r="K105" s="273">
        <v>110</v>
      </c>
    </row>
    <row r="106" spans="1:11">
      <c r="A106" s="254" t="s">
        <v>339</v>
      </c>
      <c r="B106" s="254" t="s">
        <v>340</v>
      </c>
      <c r="C106" s="254">
        <v>8546</v>
      </c>
      <c r="D106" s="269">
        <v>0</v>
      </c>
      <c r="E106" s="269">
        <v>25</v>
      </c>
      <c r="F106" s="269">
        <v>25</v>
      </c>
      <c r="G106" s="250">
        <f t="shared" si="2"/>
        <v>0</v>
      </c>
      <c r="H106" s="251">
        <v>18</v>
      </c>
      <c r="I106" s="280" t="s">
        <v>211</v>
      </c>
      <c r="J106" s="273">
        <f t="shared" si="3"/>
        <v>0</v>
      </c>
      <c r="K106" s="273">
        <v>10</v>
      </c>
    </row>
    <row r="107" spans="1:11">
      <c r="A107" s="254" t="s">
        <v>341</v>
      </c>
      <c r="B107" s="254" t="s">
        <v>342</v>
      </c>
      <c r="C107" s="254">
        <v>8546</v>
      </c>
      <c r="D107" s="269">
        <v>0</v>
      </c>
      <c r="E107" s="269">
        <f>25+75</f>
        <v>100</v>
      </c>
      <c r="F107" s="269">
        <f>25+75</f>
        <v>100</v>
      </c>
      <c r="G107" s="250">
        <f t="shared" si="2"/>
        <v>0</v>
      </c>
      <c r="H107" s="251">
        <v>18</v>
      </c>
      <c r="I107" s="280" t="s">
        <v>211</v>
      </c>
      <c r="J107" s="273">
        <f t="shared" si="3"/>
        <v>0</v>
      </c>
      <c r="K107" s="273">
        <v>12</v>
      </c>
    </row>
    <row r="108" spans="1:11">
      <c r="A108" s="254" t="s">
        <v>343</v>
      </c>
      <c r="B108" s="249" t="s">
        <v>344</v>
      </c>
      <c r="C108" s="254">
        <v>39209992</v>
      </c>
      <c r="D108" s="269">
        <v>0</v>
      </c>
      <c r="E108" s="269"/>
      <c r="F108" s="269"/>
      <c r="G108" s="250">
        <f t="shared" si="2"/>
        <v>0</v>
      </c>
      <c r="H108" s="251">
        <v>18</v>
      </c>
      <c r="I108" s="280" t="s">
        <v>160</v>
      </c>
      <c r="J108" s="273">
        <f t="shared" si="3"/>
        <v>0</v>
      </c>
      <c r="K108" s="273">
        <v>145</v>
      </c>
    </row>
    <row r="109" spans="1:11">
      <c r="A109" s="254" t="s">
        <v>345</v>
      </c>
      <c r="B109" s="249" t="s">
        <v>346</v>
      </c>
      <c r="C109" s="254">
        <v>39209992</v>
      </c>
      <c r="D109" s="269">
        <v>0</v>
      </c>
      <c r="E109" s="269"/>
      <c r="F109" s="269"/>
      <c r="G109" s="250">
        <f t="shared" si="2"/>
        <v>0</v>
      </c>
      <c r="H109" s="251">
        <v>18</v>
      </c>
      <c r="I109" s="280" t="s">
        <v>160</v>
      </c>
      <c r="J109" s="273">
        <f t="shared" si="3"/>
        <v>0</v>
      </c>
      <c r="K109" s="273">
        <v>145</v>
      </c>
    </row>
    <row r="110" spans="1:11">
      <c r="A110" s="254" t="s">
        <v>347</v>
      </c>
      <c r="B110" s="249" t="s">
        <v>348</v>
      </c>
      <c r="C110" s="254">
        <v>39209992</v>
      </c>
      <c r="D110" s="269">
        <v>0</v>
      </c>
      <c r="E110" s="269"/>
      <c r="F110" s="269"/>
      <c r="G110" s="250">
        <f t="shared" si="2"/>
        <v>0</v>
      </c>
      <c r="H110" s="251">
        <v>18</v>
      </c>
      <c r="I110" s="280" t="s">
        <v>160</v>
      </c>
      <c r="J110" s="273">
        <f t="shared" si="3"/>
        <v>0</v>
      </c>
      <c r="K110" s="273">
        <v>145</v>
      </c>
    </row>
    <row r="111" spans="1:14">
      <c r="A111" s="254" t="s">
        <v>349</v>
      </c>
      <c r="B111" s="254" t="s">
        <v>350</v>
      </c>
      <c r="C111" s="254">
        <v>58081090</v>
      </c>
      <c r="D111" s="269">
        <v>0</v>
      </c>
      <c r="E111" s="269"/>
      <c r="F111" s="269"/>
      <c r="G111" s="250">
        <f t="shared" si="2"/>
        <v>0</v>
      </c>
      <c r="H111" s="251">
        <v>12</v>
      </c>
      <c r="I111" s="280" t="s">
        <v>211</v>
      </c>
      <c r="J111" s="273">
        <f t="shared" si="3"/>
        <v>0</v>
      </c>
      <c r="K111" s="273">
        <v>15.53</v>
      </c>
      <c r="N111" s="281"/>
    </row>
    <row r="112" spans="1:14">
      <c r="A112" s="254" t="s">
        <v>351</v>
      </c>
      <c r="B112" s="254" t="s">
        <v>352</v>
      </c>
      <c r="C112" s="254">
        <v>58081090</v>
      </c>
      <c r="D112" s="269">
        <v>0</v>
      </c>
      <c r="E112" s="269"/>
      <c r="F112" s="269"/>
      <c r="G112" s="250">
        <f t="shared" si="2"/>
        <v>0</v>
      </c>
      <c r="H112" s="251">
        <v>12</v>
      </c>
      <c r="I112" s="280" t="s">
        <v>211</v>
      </c>
      <c r="J112" s="273">
        <f t="shared" si="3"/>
        <v>0</v>
      </c>
      <c r="K112" s="273">
        <v>23.73</v>
      </c>
      <c r="N112" s="281"/>
    </row>
    <row r="113" spans="1:14">
      <c r="A113" s="254" t="s">
        <v>353</v>
      </c>
      <c r="B113" s="254" t="s">
        <v>354</v>
      </c>
      <c r="C113" s="254">
        <v>58081090</v>
      </c>
      <c r="D113" s="269">
        <v>0</v>
      </c>
      <c r="E113" s="269"/>
      <c r="F113" s="269"/>
      <c r="G113" s="250">
        <f t="shared" si="2"/>
        <v>0</v>
      </c>
      <c r="H113" s="251">
        <v>12</v>
      </c>
      <c r="I113" s="280" t="s">
        <v>211</v>
      </c>
      <c r="J113" s="273">
        <f t="shared" si="3"/>
        <v>0</v>
      </c>
      <c r="K113" s="273">
        <v>25.42</v>
      </c>
      <c r="N113" s="281"/>
    </row>
    <row r="114" spans="1:11">
      <c r="A114" s="254" t="s">
        <v>355</v>
      </c>
      <c r="B114" s="254" t="s">
        <v>356</v>
      </c>
      <c r="C114" s="254">
        <v>58081090</v>
      </c>
      <c r="D114" s="269">
        <v>0</v>
      </c>
      <c r="E114" s="269"/>
      <c r="F114" s="269"/>
      <c r="G114" s="250">
        <f t="shared" si="2"/>
        <v>0</v>
      </c>
      <c r="H114" s="251">
        <v>12</v>
      </c>
      <c r="I114" s="280" t="s">
        <v>211</v>
      </c>
      <c r="J114" s="273">
        <f t="shared" si="3"/>
        <v>0</v>
      </c>
      <c r="K114" s="273">
        <v>33.59</v>
      </c>
    </row>
    <row r="115" spans="1:11">
      <c r="A115" s="254" t="s">
        <v>357</v>
      </c>
      <c r="B115" s="254" t="s">
        <v>358</v>
      </c>
      <c r="C115" s="254">
        <v>8546</v>
      </c>
      <c r="D115" s="269">
        <v>0</v>
      </c>
      <c r="E115" s="269">
        <v>2000</v>
      </c>
      <c r="F115" s="269">
        <v>2000</v>
      </c>
      <c r="G115" s="250">
        <f t="shared" si="2"/>
        <v>0</v>
      </c>
      <c r="H115" s="251">
        <v>18</v>
      </c>
      <c r="I115" s="280" t="s">
        <v>211</v>
      </c>
      <c r="J115" s="273">
        <f t="shared" si="3"/>
        <v>0</v>
      </c>
      <c r="K115" s="273">
        <v>5</v>
      </c>
    </row>
    <row r="116" spans="1:11">
      <c r="A116" s="254" t="s">
        <v>359</v>
      </c>
      <c r="B116" s="254" t="s">
        <v>360</v>
      </c>
      <c r="C116" s="254">
        <v>8546</v>
      </c>
      <c r="D116" s="269">
        <v>1600</v>
      </c>
      <c r="E116" s="269"/>
      <c r="F116" s="269"/>
      <c r="G116" s="250">
        <f t="shared" si="2"/>
        <v>1600</v>
      </c>
      <c r="H116" s="251">
        <v>18</v>
      </c>
      <c r="I116" s="280" t="s">
        <v>211</v>
      </c>
      <c r="J116" s="273">
        <f t="shared" si="3"/>
        <v>13216</v>
      </c>
      <c r="K116" s="273">
        <v>7</v>
      </c>
    </row>
    <row r="117" spans="1:11">
      <c r="A117" s="254" t="s">
        <v>361</v>
      </c>
      <c r="B117" s="254" t="s">
        <v>362</v>
      </c>
      <c r="C117" s="254">
        <v>8546</v>
      </c>
      <c r="D117" s="269">
        <v>0</v>
      </c>
      <c r="E117" s="269"/>
      <c r="F117" s="269"/>
      <c r="G117" s="250">
        <f t="shared" si="2"/>
        <v>0</v>
      </c>
      <c r="H117" s="251">
        <v>18</v>
      </c>
      <c r="I117" s="280" t="s">
        <v>211</v>
      </c>
      <c r="J117" s="273">
        <f t="shared" si="3"/>
        <v>0</v>
      </c>
      <c r="K117" s="273">
        <v>6.7</v>
      </c>
    </row>
    <row r="118" spans="1:11">
      <c r="A118" s="254" t="s">
        <v>363</v>
      </c>
      <c r="B118" s="254" t="s">
        <v>364</v>
      </c>
      <c r="C118" s="254">
        <v>8546</v>
      </c>
      <c r="D118" s="269">
        <v>0</v>
      </c>
      <c r="E118" s="269"/>
      <c r="F118" s="269"/>
      <c r="G118" s="250">
        <f t="shared" si="2"/>
        <v>0</v>
      </c>
      <c r="H118" s="251">
        <v>18</v>
      </c>
      <c r="I118" s="280" t="s">
        <v>211</v>
      </c>
      <c r="J118" s="273">
        <f t="shared" si="3"/>
        <v>0</v>
      </c>
      <c r="K118" s="273"/>
    </row>
    <row r="119" spans="1:11">
      <c r="A119" s="254" t="s">
        <v>365</v>
      </c>
      <c r="B119" s="254" t="s">
        <v>366</v>
      </c>
      <c r="C119" s="254">
        <v>8546</v>
      </c>
      <c r="D119" s="269">
        <v>50</v>
      </c>
      <c r="E119" s="269"/>
      <c r="F119" s="269"/>
      <c r="G119" s="250">
        <f t="shared" si="2"/>
        <v>50</v>
      </c>
      <c r="H119" s="251">
        <v>18</v>
      </c>
      <c r="I119" s="280" t="s">
        <v>211</v>
      </c>
      <c r="J119" s="273">
        <f t="shared" si="3"/>
        <v>742.22</v>
      </c>
      <c r="K119" s="273">
        <v>12.58</v>
      </c>
    </row>
    <row r="120" spans="1:11">
      <c r="A120" s="254" t="s">
        <v>367</v>
      </c>
      <c r="B120" s="254" t="s">
        <v>368</v>
      </c>
      <c r="C120" s="254">
        <v>8546</v>
      </c>
      <c r="D120" s="269">
        <v>0</v>
      </c>
      <c r="E120" s="269"/>
      <c r="F120" s="269"/>
      <c r="G120" s="250">
        <f t="shared" si="2"/>
        <v>0</v>
      </c>
      <c r="H120" s="251">
        <v>18</v>
      </c>
      <c r="I120" s="280" t="s">
        <v>211</v>
      </c>
      <c r="J120" s="273">
        <f t="shared" si="3"/>
        <v>0</v>
      </c>
      <c r="K120" s="273"/>
    </row>
    <row r="121" spans="1:11">
      <c r="A121" s="254" t="s">
        <v>369</v>
      </c>
      <c r="B121" s="254" t="s">
        <v>370</v>
      </c>
      <c r="C121" s="254">
        <v>8546</v>
      </c>
      <c r="D121" s="269">
        <v>0</v>
      </c>
      <c r="E121" s="269"/>
      <c r="F121" s="269"/>
      <c r="G121" s="250">
        <f t="shared" si="2"/>
        <v>0</v>
      </c>
      <c r="H121" s="251">
        <v>18</v>
      </c>
      <c r="I121" s="280" t="s">
        <v>211</v>
      </c>
      <c r="J121" s="273">
        <f t="shared" si="3"/>
        <v>0</v>
      </c>
      <c r="K121" s="273">
        <v>4.85</v>
      </c>
    </row>
    <row r="122" spans="1:11">
      <c r="A122" s="254" t="s">
        <v>371</v>
      </c>
      <c r="B122" s="254" t="s">
        <v>372</v>
      </c>
      <c r="C122" s="254">
        <v>8546</v>
      </c>
      <c r="D122" s="269">
        <v>2500</v>
      </c>
      <c r="E122" s="269"/>
      <c r="F122" s="269"/>
      <c r="G122" s="250">
        <f t="shared" si="2"/>
        <v>2500</v>
      </c>
      <c r="H122" s="251">
        <v>18</v>
      </c>
      <c r="I122" s="280" t="s">
        <v>211</v>
      </c>
      <c r="J122" s="273">
        <f t="shared" si="3"/>
        <v>16048</v>
      </c>
      <c r="K122" s="273">
        <v>5.44</v>
      </c>
    </row>
    <row r="123" spans="1:11">
      <c r="A123" s="254" t="s">
        <v>373</v>
      </c>
      <c r="B123" s="254" t="s">
        <v>374</v>
      </c>
      <c r="C123" s="254">
        <v>8546</v>
      </c>
      <c r="D123" s="269">
        <v>0</v>
      </c>
      <c r="E123" s="269"/>
      <c r="F123" s="269"/>
      <c r="G123" s="250">
        <f t="shared" si="2"/>
        <v>0</v>
      </c>
      <c r="H123" s="251">
        <v>18</v>
      </c>
      <c r="I123" s="280" t="s">
        <v>131</v>
      </c>
      <c r="J123" s="273">
        <f t="shared" si="3"/>
        <v>0</v>
      </c>
      <c r="K123" s="273"/>
    </row>
    <row r="124" spans="1:11">
      <c r="A124" s="254" t="s">
        <v>375</v>
      </c>
      <c r="B124" s="254" t="s">
        <v>376</v>
      </c>
      <c r="C124" s="254">
        <v>8546</v>
      </c>
      <c r="D124" s="269">
        <v>200</v>
      </c>
      <c r="E124" s="269">
        <f>1000+2000</f>
        <v>3000</v>
      </c>
      <c r="F124" s="269">
        <f>400+600+400+600+600</f>
        <v>2600</v>
      </c>
      <c r="G124" s="250">
        <f t="shared" si="2"/>
        <v>600</v>
      </c>
      <c r="H124" s="251">
        <v>18</v>
      </c>
      <c r="I124" s="280" t="s">
        <v>211</v>
      </c>
      <c r="J124" s="273">
        <f t="shared" si="3"/>
        <v>1416</v>
      </c>
      <c r="K124" s="273">
        <v>2</v>
      </c>
    </row>
    <row r="125" spans="1:11">
      <c r="A125" s="254" t="s">
        <v>377</v>
      </c>
      <c r="B125" s="254" t="s">
        <v>378</v>
      </c>
      <c r="C125" s="254">
        <v>8546</v>
      </c>
      <c r="D125" s="269">
        <v>0</v>
      </c>
      <c r="E125" s="269">
        <v>1000</v>
      </c>
      <c r="F125" s="269">
        <v>500</v>
      </c>
      <c r="G125" s="250">
        <f t="shared" si="2"/>
        <v>500</v>
      </c>
      <c r="H125" s="251">
        <v>18</v>
      </c>
      <c r="I125" s="280" t="s">
        <v>211</v>
      </c>
      <c r="J125" s="273">
        <f t="shared" si="3"/>
        <v>1475</v>
      </c>
      <c r="K125" s="273">
        <v>2.5</v>
      </c>
    </row>
    <row r="126" spans="1:11">
      <c r="A126" s="254" t="s">
        <v>379</v>
      </c>
      <c r="B126" s="254" t="s">
        <v>380</v>
      </c>
      <c r="C126" s="254">
        <v>8546</v>
      </c>
      <c r="D126" s="269">
        <v>0</v>
      </c>
      <c r="E126" s="269">
        <f>2000+2000</f>
        <v>4000</v>
      </c>
      <c r="F126" s="269">
        <f>1000+500+500+600+50+600+500</f>
        <v>3750</v>
      </c>
      <c r="G126" s="250">
        <f t="shared" si="2"/>
        <v>250</v>
      </c>
      <c r="H126" s="251">
        <v>18</v>
      </c>
      <c r="I126" s="280" t="s">
        <v>211</v>
      </c>
      <c r="J126" s="273">
        <f t="shared" si="3"/>
        <v>958.75</v>
      </c>
      <c r="K126" s="273">
        <v>3.25</v>
      </c>
    </row>
    <row r="127" spans="1:11">
      <c r="A127" s="254" t="s">
        <v>381</v>
      </c>
      <c r="B127" s="254" t="s">
        <v>382</v>
      </c>
      <c r="C127" s="254">
        <v>8546</v>
      </c>
      <c r="D127" s="269">
        <v>0</v>
      </c>
      <c r="E127" s="269"/>
      <c r="F127" s="269"/>
      <c r="G127" s="250">
        <f t="shared" si="2"/>
        <v>0</v>
      </c>
      <c r="H127" s="251">
        <v>18</v>
      </c>
      <c r="I127" s="280" t="s">
        <v>211</v>
      </c>
      <c r="J127" s="273">
        <f t="shared" si="3"/>
        <v>0</v>
      </c>
      <c r="K127" s="273"/>
    </row>
    <row r="128" spans="1:11">
      <c r="A128" s="254" t="s">
        <v>383</v>
      </c>
      <c r="B128" s="254" t="s">
        <v>384</v>
      </c>
      <c r="C128" s="254">
        <v>8546</v>
      </c>
      <c r="D128" s="269">
        <v>0</v>
      </c>
      <c r="E128" s="269"/>
      <c r="F128" s="269"/>
      <c r="G128" s="250">
        <f t="shared" si="2"/>
        <v>0</v>
      </c>
      <c r="H128" s="251">
        <v>18</v>
      </c>
      <c r="I128" s="280" t="s">
        <v>211</v>
      </c>
      <c r="J128" s="273">
        <f t="shared" si="3"/>
        <v>0</v>
      </c>
      <c r="K128" s="273">
        <v>4.85</v>
      </c>
    </row>
    <row r="129" spans="1:11">
      <c r="A129" s="254" t="s">
        <v>385</v>
      </c>
      <c r="B129" s="254" t="s">
        <v>386</v>
      </c>
      <c r="C129" s="254">
        <v>8546</v>
      </c>
      <c r="D129" s="269">
        <v>0</v>
      </c>
      <c r="E129" s="269"/>
      <c r="F129" s="269"/>
      <c r="G129" s="250">
        <f t="shared" si="2"/>
        <v>0</v>
      </c>
      <c r="H129" s="251">
        <v>18</v>
      </c>
      <c r="I129" s="280" t="s">
        <v>211</v>
      </c>
      <c r="J129" s="273">
        <f t="shared" si="3"/>
        <v>0</v>
      </c>
      <c r="K129" s="273">
        <v>4.85</v>
      </c>
    </row>
    <row r="130" spans="1:11">
      <c r="A130" s="254" t="s">
        <v>387</v>
      </c>
      <c r="B130" s="254" t="s">
        <v>388</v>
      </c>
      <c r="C130" s="254">
        <v>8546</v>
      </c>
      <c r="D130" s="269">
        <v>0</v>
      </c>
      <c r="E130" s="269"/>
      <c r="F130" s="269"/>
      <c r="G130" s="250">
        <f t="shared" si="2"/>
        <v>0</v>
      </c>
      <c r="H130" s="251">
        <v>18</v>
      </c>
      <c r="I130" s="280" t="s">
        <v>131</v>
      </c>
      <c r="J130" s="273">
        <f t="shared" si="3"/>
        <v>0</v>
      </c>
      <c r="K130" s="273">
        <v>53.33</v>
      </c>
    </row>
    <row r="131" spans="1:11">
      <c r="A131" s="254" t="s">
        <v>389</v>
      </c>
      <c r="B131" s="254" t="s">
        <v>390</v>
      </c>
      <c r="C131" s="254">
        <v>7165</v>
      </c>
      <c r="D131" s="269">
        <v>0</v>
      </c>
      <c r="E131" s="269">
        <v>100</v>
      </c>
      <c r="F131" s="269"/>
      <c r="G131" s="250">
        <f>+D131+E131-F131</f>
        <v>100</v>
      </c>
      <c r="H131" s="251">
        <v>18</v>
      </c>
      <c r="I131" s="280" t="s">
        <v>131</v>
      </c>
      <c r="J131" s="273">
        <f>+G131*K131+G131*K131*H131%</f>
        <v>4414.38</v>
      </c>
      <c r="K131" s="273">
        <v>37.41</v>
      </c>
    </row>
    <row r="132" spans="5:13">
      <c r="E132" s="246">
        <f>SUM(E2:E131)</f>
        <v>61105.7</v>
      </c>
      <c r="F132" s="246">
        <f>SUM(F2:F131)</f>
        <v>82820.703</v>
      </c>
      <c r="J132" s="281">
        <f>SUM(J3:J131)</f>
        <v>86162.42</v>
      </c>
      <c r="K132" s="281"/>
      <c r="L132" s="281"/>
      <c r="M132" s="281"/>
    </row>
  </sheetData>
  <autoFilter xmlns:etc="http://www.wps.cn/officeDocument/2017/etCustomData" ref="A2:K132" etc:filterBottomFollowUsedRange="0">
    <extLst/>
  </autoFilter>
  <conditionalFormatting sqref="B42">
    <cfRule type="duplicateValues" dxfId="0" priority="2"/>
  </conditionalFormatting>
  <conditionalFormatting sqref="A68">
    <cfRule type="duplicateValues" dxfId="0" priority="599"/>
  </conditionalFormatting>
  <conditionalFormatting sqref="A65:A67">
    <cfRule type="duplicateValues" dxfId="0" priority="4"/>
  </conditionalFormatting>
  <conditionalFormatting sqref="B69:B70">
    <cfRule type="duplicateValues" dxfId="0" priority="1"/>
  </conditionalFormatting>
  <conditionalFormatting sqref="B41 B3:B24 B43:B59 B28:B32">
    <cfRule type="duplicateValues" dxfId="0" priority="598"/>
  </conditionalFormatting>
  <conditionalFormatting sqref="A60:B64">
    <cfRule type="duplicateValues" dxfId="0" priority="5"/>
  </conditionalFormatting>
  <dataValidations count="2">
    <dataValidation type="decimal" operator="between" allowBlank="1" showInputMessage="1" showErrorMessage="1" error="Please enter a number" sqref="F5 F132 E3:E9920">
      <formula1>-9989898898</formula1>
      <formula2>99999999999</formula2>
    </dataValidation>
    <dataValidation type="decimal" operator="between" allowBlank="1" showInputMessage="1" showErrorMessage="1" error="Please enter a number" sqref="D3:D9920">
      <formula1>-9999999999</formula1>
      <formula2>99999999999</formula2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theme="3" tint="0.599993896298105"/>
    <pageSetUpPr fitToPage="1"/>
  </sheetPr>
  <dimension ref="A2:L48"/>
  <sheetViews>
    <sheetView zoomScale="115" zoomScaleNormal="115" topLeftCell="A12" workbookViewId="0">
      <selection activeCell="A4" sqref="A4:I5"/>
    </sheetView>
  </sheetViews>
  <sheetFormatPr defaultColWidth="12.712962962963" defaultRowHeight="13.2"/>
  <cols>
    <col min="1" max="1" width="12.5740740740741" style="154" customWidth="1"/>
    <col min="2" max="2" width="11.4259259259259" style="154" customWidth="1"/>
    <col min="3" max="3" width="12.712962962963" style="154" customWidth="1"/>
    <col min="4" max="4" width="10.8518518518519" style="154" customWidth="1"/>
    <col min="5" max="5" width="11" style="154" customWidth="1"/>
    <col min="6" max="6" width="5.57407407407407" style="154" customWidth="1"/>
    <col min="7" max="7" width="6.42592592592593" style="154" customWidth="1"/>
    <col min="8" max="8" width="7.85185185185185" style="154" customWidth="1"/>
    <col min="9" max="9" width="11.4259259259259" style="154" customWidth="1"/>
    <col min="10" max="11" width="12.712962962963" style="154" customWidth="1"/>
    <col min="12" max="12" width="5" style="154" customWidth="1"/>
    <col min="13" max="16384" width="12.712962962963" style="154" customWidth="1"/>
  </cols>
  <sheetData>
    <row r="2" spans="1:1">
      <c r="A2" s="155" t="s">
        <v>391</v>
      </c>
    </row>
    <row r="4" spans="1:1">
      <c r="A4" s="156" t="s">
        <v>392</v>
      </c>
    </row>
    <row r="6" spans="1:1">
      <c r="A6" s="157" t="s">
        <v>393</v>
      </c>
    </row>
    <row r="7" ht="22.5" customHeight="1" spans="1:1">
      <c r="A7" s="158" t="s">
        <v>394</v>
      </c>
    </row>
    <row r="8" ht="20.25" customHeight="1" spans="1:1">
      <c r="A8" s="159" t="s">
        <v>395</v>
      </c>
    </row>
    <row r="9" ht="20.25" customHeight="1" spans="1:9">
      <c r="A9" s="159"/>
      <c r="B9" s="159"/>
      <c r="C9" s="159"/>
      <c r="D9" s="159"/>
      <c r="E9" s="159"/>
      <c r="F9" s="159"/>
      <c r="G9" s="159"/>
      <c r="H9" s="159"/>
      <c r="I9" s="159"/>
    </row>
    <row r="10" ht="13.5" customHeight="1" spans="1:4">
      <c r="A10" s="160" t="s">
        <v>396</v>
      </c>
      <c r="C10" s="161" t="s">
        <v>397</v>
      </c>
      <c r="D10" s="162">
        <v>3</v>
      </c>
    </row>
    <row r="11" ht="15" customHeight="1" spans="1:9">
      <c r="A11" s="163" t="str">
        <f>VLOOKUP(D10,'Party Master'!A:N,2,FALSE)</f>
        <v>OPQ Manufacturing Industries Ltd.E1</v>
      </c>
      <c r="B11" s="164"/>
      <c r="C11" s="164"/>
      <c r="D11" s="164"/>
      <c r="E11" s="165" t="s">
        <v>398</v>
      </c>
      <c r="F11" s="166"/>
      <c r="G11" s="167"/>
      <c r="H11" s="390" t="s">
        <v>399</v>
      </c>
      <c r="I11" s="167"/>
    </row>
    <row r="12" ht="13.5" customHeight="1" spans="1:9">
      <c r="A12" s="169" t="b">
        <f>D10=VLOOKUP(D10,'Party Master'!A:N,3,FALSE)</f>
        <v>0</v>
      </c>
      <c r="E12" s="165" t="s">
        <v>400</v>
      </c>
      <c r="F12" s="166"/>
      <c r="G12" s="167"/>
      <c r="H12" s="170">
        <v>44914</v>
      </c>
      <c r="I12" s="234"/>
    </row>
    <row r="13" ht="13.5" customHeight="1" spans="1:9">
      <c r="A13" s="171"/>
      <c r="E13" s="172" t="s">
        <v>401</v>
      </c>
      <c r="F13" s="164"/>
      <c r="G13" s="173"/>
      <c r="H13" s="174"/>
      <c r="I13" s="167"/>
    </row>
    <row r="14" ht="13.5" customHeight="1" spans="1:9">
      <c r="A14" s="171"/>
      <c r="E14" s="172" t="s">
        <v>402</v>
      </c>
      <c r="F14" s="164"/>
      <c r="G14" s="173"/>
      <c r="H14" s="175">
        <v>44914</v>
      </c>
      <c r="I14" s="235"/>
    </row>
    <row r="15" ht="13.5" customHeight="1" spans="1:9">
      <c r="A15" s="171"/>
      <c r="E15" s="172"/>
      <c r="F15" s="164"/>
      <c r="G15" s="173"/>
      <c r="H15" s="175"/>
      <c r="I15" s="235"/>
    </row>
    <row r="16" ht="15" customHeight="1" spans="1:9">
      <c r="A16" s="176" t="s">
        <v>403</v>
      </c>
      <c r="B16" s="177" t="str">
        <f>VLOOKUP(D10,'Party Master'!A:N,6,FALSE)</f>
        <v>XXXXXXXXX</v>
      </c>
      <c r="C16" s="164"/>
      <c r="D16" s="164"/>
      <c r="E16" s="178" t="s">
        <v>404</v>
      </c>
      <c r="F16" s="179" t="s">
        <v>17</v>
      </c>
      <c r="G16" s="164"/>
      <c r="H16" s="164"/>
      <c r="I16" s="173"/>
    </row>
    <row r="17" ht="15" customHeight="1" spans="1:9">
      <c r="A17" s="180" t="s">
        <v>405</v>
      </c>
      <c r="B17" s="181"/>
      <c r="E17" s="182" t="s">
        <v>406</v>
      </c>
      <c r="F17" s="183" t="str">
        <f>VLOOKUP(D10,'Party Master'!$A$2:$D$228,4,FALSE)</f>
        <v>70280XXXXX</v>
      </c>
      <c r="I17" s="185"/>
    </row>
    <row r="18" ht="15" customHeight="1" spans="1:9">
      <c r="A18" s="180" t="s">
        <v>12</v>
      </c>
      <c r="B18" s="184" t="s">
        <v>407</v>
      </c>
      <c r="D18" s="185"/>
      <c r="E18" s="182" t="s">
        <v>408</v>
      </c>
      <c r="F18" s="183" t="s">
        <v>409</v>
      </c>
      <c r="I18" s="185"/>
    </row>
    <row r="19" ht="15.75" customHeight="1" spans="1:9">
      <c r="A19" s="186" t="s">
        <v>410</v>
      </c>
      <c r="B19" s="187" t="s">
        <v>115</v>
      </c>
      <c r="C19" s="188"/>
      <c r="D19" s="188"/>
      <c r="E19" s="189" t="s">
        <v>411</v>
      </c>
      <c r="F19" s="190" t="s">
        <v>112</v>
      </c>
      <c r="G19" s="188"/>
      <c r="H19" s="188"/>
      <c r="I19" s="236"/>
    </row>
    <row r="20" ht="13.5" customHeight="1" spans="1:9">
      <c r="A20" s="191" t="s">
        <v>412</v>
      </c>
      <c r="B20" s="192" t="s">
        <v>413</v>
      </c>
      <c r="C20" s="188"/>
      <c r="D20" s="193"/>
      <c r="E20" s="194" t="s">
        <v>414</v>
      </c>
      <c r="F20" s="192" t="s">
        <v>415</v>
      </c>
      <c r="G20" s="194" t="s">
        <v>416</v>
      </c>
      <c r="H20" s="192" t="s">
        <v>128</v>
      </c>
      <c r="I20" s="237" t="s">
        <v>417</v>
      </c>
    </row>
    <row r="21" spans="1:12">
      <c r="A21" s="195" t="s">
        <v>293</v>
      </c>
      <c r="B21" s="196" t="str">
        <f>VLOOKUP(A21,'Stock Statement'!A:B,2,FALSE)</f>
        <v>Cable Tie Black 200mm X 7.4mm Reusable</v>
      </c>
      <c r="D21" s="85"/>
      <c r="E21" s="197">
        <f>VLOOKUP(A21,'Stock Statement'!A:C,3,FALSE)</f>
        <v>39269099</v>
      </c>
      <c r="F21" s="198">
        <v>3000</v>
      </c>
      <c r="G21" s="199" t="str">
        <f>+VLOOKUP(A21,'Stock Statement'!A:K,9,)</f>
        <v>NOS</v>
      </c>
      <c r="H21" s="200">
        <v>2.4</v>
      </c>
      <c r="I21" s="238">
        <f>F21*H21</f>
        <v>7200</v>
      </c>
      <c r="K21" s="239"/>
      <c r="L21" s="239"/>
    </row>
    <row r="22" spans="1:12">
      <c r="A22" s="195" t="s">
        <v>156</v>
      </c>
      <c r="B22" s="196" t="str">
        <f>VLOOKUP(A22,'Stock Statement'!A:B,2,FALSE)</f>
        <v>Cable Tie Black 150mm X 3.6mm </v>
      </c>
      <c r="D22" s="85"/>
      <c r="E22" s="197">
        <f>VLOOKUP(A22,'Stock Statement'!A:C,3,FALSE)</f>
        <v>39269099</v>
      </c>
      <c r="F22" s="198">
        <v>3000</v>
      </c>
      <c r="G22" s="199" t="str">
        <f>+VLOOKUP(A22,'Stock Statement'!A:K,9,)</f>
        <v>NOS</v>
      </c>
      <c r="H22" s="200">
        <v>0.42</v>
      </c>
      <c r="I22" s="238">
        <f>F22*H22</f>
        <v>1260</v>
      </c>
      <c r="K22" s="239"/>
      <c r="L22" s="239"/>
    </row>
    <row r="23" spans="1:12">
      <c r="A23" s="195"/>
      <c r="B23" s="196"/>
      <c r="D23" s="85"/>
      <c r="E23" s="197"/>
      <c r="F23" s="198"/>
      <c r="G23" s="199"/>
      <c r="H23" s="200"/>
      <c r="I23" s="238"/>
      <c r="K23" s="239"/>
      <c r="L23" s="239"/>
    </row>
    <row r="24" ht="14.25" customHeight="1" spans="1:12">
      <c r="A24" s="201"/>
      <c r="B24" s="202"/>
      <c r="D24" s="85"/>
      <c r="E24" s="203"/>
      <c r="F24" s="202"/>
      <c r="G24" s="204"/>
      <c r="H24" s="205"/>
      <c r="I24" s="240"/>
      <c r="K24" s="239"/>
      <c r="L24" s="239"/>
    </row>
    <row r="25" ht="14.25" customHeight="1" spans="1:12">
      <c r="A25" s="201"/>
      <c r="B25" s="202"/>
      <c r="D25" s="85"/>
      <c r="E25" s="203"/>
      <c r="F25" s="202"/>
      <c r="G25" s="204"/>
      <c r="H25" s="205"/>
      <c r="I25" s="240"/>
      <c r="K25" s="239"/>
      <c r="L25" s="239"/>
    </row>
    <row r="26" ht="14.25" customHeight="1" spans="1:12">
      <c r="A26" s="201"/>
      <c r="B26" s="202"/>
      <c r="D26" s="85"/>
      <c r="E26" s="203"/>
      <c r="F26" s="202"/>
      <c r="G26" s="204"/>
      <c r="H26" s="205"/>
      <c r="I26" s="240"/>
      <c r="K26" s="239"/>
      <c r="L26" s="239"/>
    </row>
    <row r="27" ht="14.25" customHeight="1" spans="1:12">
      <c r="A27" s="201"/>
      <c r="B27" s="202"/>
      <c r="D27" s="85"/>
      <c r="E27" s="203"/>
      <c r="F27" s="202"/>
      <c r="G27" s="204"/>
      <c r="H27" s="205"/>
      <c r="I27" s="240"/>
      <c r="K27" s="239"/>
      <c r="L27" s="239"/>
    </row>
    <row r="28" ht="14.25" customHeight="1" spans="1:12">
      <c r="A28" s="201"/>
      <c r="B28" s="202"/>
      <c r="D28" s="85"/>
      <c r="E28" s="203"/>
      <c r="F28" s="202"/>
      <c r="G28" s="204"/>
      <c r="H28" s="205"/>
      <c r="I28" s="240"/>
      <c r="K28" s="239"/>
      <c r="L28" s="239"/>
    </row>
    <row r="29" ht="14.25" customHeight="1" spans="1:12">
      <c r="A29" s="206"/>
      <c r="B29" s="202"/>
      <c r="D29" s="85"/>
      <c r="E29" s="203"/>
      <c r="F29" s="202"/>
      <c r="G29" s="202"/>
      <c r="H29" s="202"/>
      <c r="I29" s="241"/>
      <c r="K29" s="239"/>
      <c r="L29" s="239">
        <v>2.28</v>
      </c>
    </row>
    <row r="30" ht="14.25" customHeight="1" spans="1:9">
      <c r="A30" s="207"/>
      <c r="B30" s="202"/>
      <c r="D30" s="85"/>
      <c r="E30" s="203"/>
      <c r="F30" s="202"/>
      <c r="G30" s="202"/>
      <c r="H30" s="202"/>
      <c r="I30" s="241"/>
    </row>
    <row r="31" ht="14.25" customHeight="1" spans="1:9">
      <c r="A31" s="208"/>
      <c r="B31" s="209"/>
      <c r="C31" s="73"/>
      <c r="D31" s="88"/>
      <c r="E31" s="210"/>
      <c r="F31" s="211"/>
      <c r="G31" s="211"/>
      <c r="H31" s="211"/>
      <c r="I31" s="242"/>
    </row>
    <row r="32" ht="14.25" customHeight="1" spans="1:9">
      <c r="A32" s="212" t="s">
        <v>418</v>
      </c>
      <c r="G32" s="213" t="s">
        <v>419</v>
      </c>
      <c r="H32" s="80"/>
      <c r="I32" s="243">
        <f>SUM(I21:I28)</f>
        <v>8460</v>
      </c>
    </row>
    <row r="33" ht="14.25" customHeight="1" spans="1:9">
      <c r="A33" s="214"/>
      <c r="B33" s="215"/>
      <c r="C33" s="216"/>
      <c r="D33" s="216"/>
      <c r="E33" s="216"/>
      <c r="F33" s="216"/>
      <c r="G33" s="213" t="s">
        <v>4</v>
      </c>
      <c r="H33" s="217">
        <f>+VLOOKUP(D10,'Party Master'!A:N,9,)</f>
        <v>0.09</v>
      </c>
      <c r="I33" s="243">
        <f>+I32*H33</f>
        <v>761.4</v>
      </c>
    </row>
    <row r="34" ht="14.25" customHeight="1" spans="1:9">
      <c r="A34" s="218" t="s">
        <v>420</v>
      </c>
      <c r="B34" s="219" t="s">
        <v>421</v>
      </c>
      <c r="F34" s="85"/>
      <c r="G34" s="213" t="s">
        <v>5</v>
      </c>
      <c r="H34" s="217">
        <f>+VLOOKUP(D10,'Party Master'!A:N,10,)</f>
        <v>0.09</v>
      </c>
      <c r="I34" s="243">
        <f>+I32*H34</f>
        <v>761.4</v>
      </c>
    </row>
    <row r="35" ht="14.25" customHeight="1" spans="1:9">
      <c r="A35" s="220"/>
      <c r="F35" s="85"/>
      <c r="G35" s="213" t="s">
        <v>6</v>
      </c>
      <c r="H35" s="217">
        <f>+VLOOKUP(D10,'Party Master'!A:N,11,)</f>
        <v>0</v>
      </c>
      <c r="I35" s="243">
        <f>+I32*H35</f>
        <v>0</v>
      </c>
    </row>
    <row r="36" ht="14.25" customHeight="1" spans="1:9">
      <c r="A36" s="221"/>
      <c r="F36" s="85"/>
      <c r="G36" s="213" t="s">
        <v>422</v>
      </c>
      <c r="H36" s="80"/>
      <c r="I36" s="243">
        <f>SUM(I32:I35)</f>
        <v>9982.8</v>
      </c>
    </row>
    <row r="37" ht="14.25" customHeight="1" spans="1:9">
      <c r="A37" s="218" t="s">
        <v>423</v>
      </c>
      <c r="B37" s="222" t="s">
        <v>424</v>
      </c>
      <c r="G37" s="216"/>
      <c r="H37" s="216"/>
      <c r="I37" s="244"/>
    </row>
    <row r="38" spans="1:9">
      <c r="A38" s="221"/>
      <c r="I38" s="245"/>
    </row>
    <row r="39" spans="1:9">
      <c r="A39" s="221"/>
      <c r="I39" s="245"/>
    </row>
    <row r="40" ht="14.25" customHeight="1" spans="1:9">
      <c r="A40" s="223"/>
      <c r="B40" s="224"/>
      <c r="C40" s="224"/>
      <c r="D40" s="224"/>
      <c r="I40" s="245"/>
    </row>
    <row r="41" spans="1:9">
      <c r="A41" s="218" t="s">
        <v>425</v>
      </c>
      <c r="B41" s="225" t="s">
        <v>426</v>
      </c>
      <c r="I41" s="245"/>
    </row>
    <row r="42" ht="14.25" customHeight="1" spans="1:9">
      <c r="A42" s="226"/>
      <c r="B42" s="216"/>
      <c r="C42" s="216"/>
      <c r="D42" s="216"/>
      <c r="I42" s="245"/>
    </row>
    <row r="43" spans="1:9">
      <c r="A43" s="221"/>
      <c r="I43" s="245"/>
    </row>
    <row r="44" ht="14.25" customHeight="1" spans="1:9">
      <c r="A44" s="221"/>
      <c r="E44" s="227" t="str">
        <f>A2</f>
        <v>Advantage Industrial Suppliers</v>
      </c>
      <c r="I44" s="185"/>
    </row>
    <row r="45" ht="14.25" customHeight="1" spans="1:9">
      <c r="A45" s="221"/>
      <c r="E45" s="228"/>
      <c r="F45" s="228"/>
      <c r="G45" s="216"/>
      <c r="H45" s="216"/>
      <c r="I45" s="244"/>
    </row>
    <row r="46" ht="14.25" customHeight="1" spans="1:9">
      <c r="A46" s="221"/>
      <c r="E46" s="228"/>
      <c r="F46" s="228"/>
      <c r="G46" s="229"/>
      <c r="H46" s="229"/>
      <c r="I46" s="227"/>
    </row>
    <row r="47" ht="14.25" customHeight="1" spans="1:9">
      <c r="A47" s="221"/>
      <c r="E47" s="230"/>
      <c r="I47" s="185"/>
    </row>
    <row r="48" ht="15" customHeight="1" spans="1:9">
      <c r="A48" s="231"/>
      <c r="B48" s="232"/>
      <c r="C48" s="232"/>
      <c r="D48" s="232"/>
      <c r="E48" s="233" t="s">
        <v>427</v>
      </c>
      <c r="F48" s="188"/>
      <c r="G48" s="188"/>
      <c r="H48" s="188"/>
      <c r="I48" s="236"/>
    </row>
  </sheetData>
  <mergeCells count="46">
    <mergeCell ref="A6:I6"/>
    <mergeCell ref="A7:I7"/>
    <mergeCell ref="A8:I8"/>
    <mergeCell ref="A11:D11"/>
    <mergeCell ref="E11:G11"/>
    <mergeCell ref="H11:I11"/>
    <mergeCell ref="E12:G12"/>
    <mergeCell ref="H12:I12"/>
    <mergeCell ref="E13:G13"/>
    <mergeCell ref="H13:I13"/>
    <mergeCell ref="E14:G14"/>
    <mergeCell ref="H14:I14"/>
    <mergeCell ref="E15:G15"/>
    <mergeCell ref="H15:I15"/>
    <mergeCell ref="B16:D16"/>
    <mergeCell ref="F16:I16"/>
    <mergeCell ref="B17:D17"/>
    <mergeCell ref="F17:I17"/>
    <mergeCell ref="B18:D18"/>
    <mergeCell ref="F18:I18"/>
    <mergeCell ref="B19:D19"/>
    <mergeCell ref="F19:I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A32:F32"/>
    <mergeCell ref="G32:H32"/>
    <mergeCell ref="G36:H36"/>
    <mergeCell ref="B41:D41"/>
    <mergeCell ref="E44:I44"/>
    <mergeCell ref="E47:I47"/>
    <mergeCell ref="E48:I48"/>
    <mergeCell ref="A2:I3"/>
    <mergeCell ref="A4:I5"/>
    <mergeCell ref="B37:F39"/>
    <mergeCell ref="B34:F36"/>
    <mergeCell ref="A12:D15"/>
  </mergeCells>
  <pageMargins left="0.5" right="0" top="0.5" bottom="0.25" header="0.25" footer="0.25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tabColor theme="9" tint="0.399975585192419"/>
  </sheetPr>
  <dimension ref="A1:AA45"/>
  <sheetViews>
    <sheetView zoomScale="80" zoomScaleNormal="80" workbookViewId="0">
      <pane xSplit="6" ySplit="6" topLeftCell="G13" activePane="bottomRight" state="frozen"/>
      <selection/>
      <selection pane="topRight"/>
      <selection pane="bottomLeft"/>
      <selection pane="bottomRight" activeCell="D43" sqref="D43"/>
    </sheetView>
  </sheetViews>
  <sheetFormatPr defaultColWidth="9" defaultRowHeight="13.2"/>
  <cols>
    <col min="1" max="1" width="10.5740740740741" style="4" customWidth="1"/>
    <col min="2" max="2" width="11.287037037037" style="4" customWidth="1"/>
    <col min="3" max="3" width="11.4259259259259" style="4" customWidth="1"/>
    <col min="4" max="4" width="37.4259259259259" style="139" customWidth="1"/>
    <col min="5" max="5" width="17.712962962963" style="140" customWidth="1"/>
    <col min="6" max="6" width="13.5740740740741" style="4" customWidth="1"/>
    <col min="7" max="7" width="13.5740740740741" style="50" customWidth="1"/>
    <col min="8" max="8" width="32.1388888888889" style="4" customWidth="1"/>
    <col min="9" max="9" width="10.1388888888889" style="4" customWidth="1"/>
    <col min="10" max="10" width="10.712962962963" style="4" customWidth="1"/>
    <col min="11" max="11" width="11" style="4" customWidth="1"/>
    <col min="12" max="12" width="12.1388888888889" style="4" customWidth="1"/>
    <col min="13" max="13" width="13.5740740740741" style="4" customWidth="1"/>
    <col min="14" max="14" width="15.5740740740741" style="4" customWidth="1"/>
    <col min="15" max="16" width="11.5740740740741" style="4" customWidth="1"/>
    <col min="17" max="17" width="11.287037037037" style="4" customWidth="1"/>
    <col min="18" max="18" width="15.8518518518519" style="4" customWidth="1"/>
    <col min="19" max="19" width="11.5740740740741" style="4" customWidth="1"/>
    <col min="20" max="20" width="14.287037037037" style="4" customWidth="1"/>
    <col min="21" max="21" width="15.1388888888889" style="4" customWidth="1"/>
    <col min="22" max="22" width="14.287037037037" style="4" customWidth="1"/>
    <col min="23" max="23" width="13.5740740740741" style="4" customWidth="1"/>
    <col min="24" max="24" width="13.8518518518519" style="4" customWidth="1"/>
    <col min="25" max="25" width="15.287037037037" style="4" customWidth="1"/>
    <col min="26" max="26" width="11.1388888888889" style="5" customWidth="1"/>
    <col min="27" max="27" width="10.1388888888889" style="5" customWidth="1"/>
    <col min="28" max="16384" width="9.13888888888889" style="5" customWidth="1"/>
  </cols>
  <sheetData>
    <row r="1" spans="1:25">
      <c r="A1" s="5"/>
      <c r="B1" s="5"/>
      <c r="C1" s="5"/>
      <c r="D1" s="5"/>
      <c r="E1" s="141"/>
      <c r="F1" s="5"/>
      <c r="G1" s="2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>
      <c r="A2" s="6" t="s">
        <v>325</v>
      </c>
      <c r="Y2" s="5"/>
    </row>
    <row r="3" spans="1:25">
      <c r="A3" s="7"/>
      <c r="Y3" s="5"/>
    </row>
    <row r="4" spans="1:25">
      <c r="A4" s="7"/>
      <c r="Y4" s="5"/>
    </row>
    <row r="5" spans="1:25">
      <c r="A5" s="5"/>
      <c r="B5" s="5"/>
      <c r="C5" s="5"/>
      <c r="D5" s="5"/>
      <c r="E5" s="141"/>
      <c r="F5" s="5"/>
      <c r="G5" s="2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7" t="e">
        <f>+#REF!-#REF!</f>
        <v>#REF!</v>
      </c>
      <c r="T5" s="5"/>
      <c r="U5" s="5"/>
      <c r="V5" s="5"/>
      <c r="W5" s="9" t="s">
        <v>428</v>
      </c>
      <c r="X5" s="5"/>
      <c r="Y5" s="5"/>
    </row>
    <row r="6" s="1" customFormat="1" ht="25.5" customHeight="1" spans="1:25">
      <c r="A6" s="8" t="s">
        <v>429</v>
      </c>
      <c r="B6" s="8" t="s">
        <v>430</v>
      </c>
      <c r="C6" s="8" t="s">
        <v>431</v>
      </c>
      <c r="D6" s="9" t="s">
        <v>432</v>
      </c>
      <c r="E6" s="95" t="s">
        <v>433</v>
      </c>
      <c r="F6" s="8" t="s">
        <v>434</v>
      </c>
      <c r="G6" s="8" t="s">
        <v>412</v>
      </c>
      <c r="H6" s="9" t="s">
        <v>413</v>
      </c>
      <c r="I6" s="9" t="s">
        <v>415</v>
      </c>
      <c r="J6" s="9" t="s">
        <v>416</v>
      </c>
      <c r="K6" s="9" t="s">
        <v>128</v>
      </c>
      <c r="L6" s="9" t="s">
        <v>435</v>
      </c>
      <c r="M6" s="9" t="s">
        <v>85</v>
      </c>
      <c r="N6" s="9" t="s">
        <v>436</v>
      </c>
      <c r="O6" s="9" t="s">
        <v>5</v>
      </c>
      <c r="P6" s="9" t="s">
        <v>4</v>
      </c>
      <c r="Q6" s="9" t="s">
        <v>6</v>
      </c>
      <c r="R6" s="9" t="s">
        <v>437</v>
      </c>
      <c r="S6" s="9" t="s">
        <v>422</v>
      </c>
      <c r="T6" s="8" t="s">
        <v>438</v>
      </c>
      <c r="U6" s="8" t="s">
        <v>439</v>
      </c>
      <c r="V6" s="8" t="s">
        <v>440</v>
      </c>
      <c r="W6" s="9" t="s">
        <v>85</v>
      </c>
      <c r="X6" s="8" t="s">
        <v>441</v>
      </c>
      <c r="Y6" s="9" t="s">
        <v>442</v>
      </c>
    </row>
    <row r="7" ht="13.8" spans="1:25">
      <c r="A7" s="12">
        <v>2</v>
      </c>
      <c r="B7" s="42">
        <v>45390</v>
      </c>
      <c r="C7" s="12">
        <v>9</v>
      </c>
      <c r="D7" s="142" t="str">
        <f>+VLOOKUP(C7,'Party Master'!$A$2:$B$273,2,FALSE)</f>
        <v>PQR FORGINGS LIMITED</v>
      </c>
      <c r="E7" s="12">
        <v>12</v>
      </c>
      <c r="F7" s="41">
        <v>45393</v>
      </c>
      <c r="G7" s="42" t="s">
        <v>138</v>
      </c>
      <c r="H7" s="143" t="str">
        <f>VLOOKUP(G7,'Stock Statement'!$A$2:$B$149,2,FALSE)</f>
        <v>BOPP Tape Brown 48mm x 65 mtrs </v>
      </c>
      <c r="I7" s="13">
        <f>5*72</f>
        <v>360</v>
      </c>
      <c r="J7" s="12" t="str">
        <f>VLOOKUP(G7,'Stock Statement'!$A$3:$I$149,9,FALSE)</f>
        <v>NOS</v>
      </c>
      <c r="K7" s="30">
        <v>20.9722222222222</v>
      </c>
      <c r="L7" s="30">
        <f t="shared" ref="L7:L45" si="0">I7*K7</f>
        <v>7550</v>
      </c>
      <c r="M7" s="30"/>
      <c r="N7" s="30">
        <f t="shared" ref="N7:N45" si="1">SUM(L7:M7)</f>
        <v>7550</v>
      </c>
      <c r="O7" s="30">
        <f>VLOOKUP(C7,'Party Master'!$A$2:$I$273,9,FALSE)*N7</f>
        <v>679.5</v>
      </c>
      <c r="P7" s="30">
        <f>VLOOKUP(C7,'Party Master'!$A$2:$J$273,10,FALSE)*N7</f>
        <v>679.5</v>
      </c>
      <c r="Q7" s="30">
        <f>+VLOOKUP(C7,'Party Master'!$A$2:$K$273,11,FALSE)*N7</f>
        <v>0</v>
      </c>
      <c r="R7" s="30"/>
      <c r="S7" s="30">
        <f t="shared" ref="S7:S45" si="2">SUM(N7:R7)</f>
        <v>8909</v>
      </c>
      <c r="T7" s="30">
        <v>8909</v>
      </c>
      <c r="U7" s="13" t="s">
        <v>443</v>
      </c>
      <c r="V7" s="30">
        <f t="shared" ref="V7:V45" si="3">+S7-T7</f>
        <v>0</v>
      </c>
      <c r="W7" s="30"/>
      <c r="X7" s="30">
        <f t="shared" ref="X7:X39" si="4">(N7+W7)/I7</f>
        <v>20.9722222222222</v>
      </c>
      <c r="Y7" s="41" t="str">
        <f t="shared" ref="Y7:Y14" si="5">+IF(T7&gt;0,"Complete",F7+30)</f>
        <v>Complete</v>
      </c>
    </row>
    <row r="8" ht="13.8" spans="1:25">
      <c r="A8" s="12">
        <v>2</v>
      </c>
      <c r="B8" s="42">
        <v>45390</v>
      </c>
      <c r="C8" s="12">
        <v>9</v>
      </c>
      <c r="D8" s="142" t="str">
        <f>+VLOOKUP(C8,'Party Master'!$A$2:$B$273,2,FALSE)</f>
        <v>PQR FORGINGS LIMITED</v>
      </c>
      <c r="E8" s="12">
        <v>12</v>
      </c>
      <c r="F8" s="41">
        <v>45393</v>
      </c>
      <c r="G8" s="42" t="s">
        <v>163</v>
      </c>
      <c r="H8" s="143" t="str">
        <f>VLOOKUP(G8,'Stock Statement'!$A$2:$B$149,2,FALSE)</f>
        <v>Double Sided Foam Tape 20mmX5M</v>
      </c>
      <c r="I8" s="13">
        <v>49</v>
      </c>
      <c r="J8" s="12" t="str">
        <f>VLOOKUP(G8,'Stock Statement'!$A$3:$I$149,9,FALSE)</f>
        <v>NOS</v>
      </c>
      <c r="K8" s="30">
        <v>14</v>
      </c>
      <c r="L8" s="30">
        <f t="shared" si="0"/>
        <v>686</v>
      </c>
      <c r="M8" s="30"/>
      <c r="N8" s="30">
        <f t="shared" si="1"/>
        <v>686</v>
      </c>
      <c r="O8" s="30">
        <f>VLOOKUP(C8,'Party Master'!$A$2:$I$273,9,FALSE)*N8</f>
        <v>61.74</v>
      </c>
      <c r="P8" s="30">
        <f>VLOOKUP(C8,'Party Master'!$A$2:$J$273,10,FALSE)*N8</f>
        <v>61.74</v>
      </c>
      <c r="Q8" s="30">
        <f>+VLOOKUP(C8,'Party Master'!$A$2:$K$273,11,FALSE)*N8</f>
        <v>0</v>
      </c>
      <c r="R8" s="30">
        <v>0</v>
      </c>
      <c r="S8" s="30">
        <f t="shared" si="2"/>
        <v>809.48</v>
      </c>
      <c r="T8" s="30">
        <v>809.48</v>
      </c>
      <c r="U8" s="13" t="s">
        <v>443</v>
      </c>
      <c r="V8" s="30">
        <f t="shared" si="3"/>
        <v>0</v>
      </c>
      <c r="W8" s="30"/>
      <c r="X8" s="30">
        <f t="shared" si="4"/>
        <v>14</v>
      </c>
      <c r="Y8" s="41" t="str">
        <f t="shared" si="5"/>
        <v>Complete</v>
      </c>
    </row>
    <row r="9" ht="13.8" spans="1:26">
      <c r="A9" s="12">
        <v>3</v>
      </c>
      <c r="B9" s="42">
        <v>45405</v>
      </c>
      <c r="C9" s="12">
        <v>1</v>
      </c>
      <c r="D9" s="142" t="str">
        <f>+VLOOKUP(C9,'Party Master'!$A$2:$B$273,2,FALSE)</f>
        <v>XYZ Harness Technologies
</v>
      </c>
      <c r="E9" s="12">
        <v>112</v>
      </c>
      <c r="F9" s="41">
        <v>45402</v>
      </c>
      <c r="G9" s="42" t="s">
        <v>252</v>
      </c>
      <c r="H9" s="143" t="str">
        <f>VLOOKUP(G9,'Stock Statement'!$A$2:$B$149,2,FALSE)</f>
        <v>HST Black 7.9mm with Adhessive</v>
      </c>
      <c r="I9" s="13">
        <v>1000</v>
      </c>
      <c r="J9" s="12" t="str">
        <f>VLOOKUP(G9,'Stock Statement'!$A$3:$I$149,9,FALSE)</f>
        <v>MTRS</v>
      </c>
      <c r="K9" s="30">
        <v>23</v>
      </c>
      <c r="L9" s="30">
        <f t="shared" si="0"/>
        <v>23000</v>
      </c>
      <c r="M9" s="30"/>
      <c r="N9" s="30">
        <f t="shared" si="1"/>
        <v>23000</v>
      </c>
      <c r="O9" s="30">
        <f>VLOOKUP(C9,'Party Master'!$A$2:$I$273,9,FALSE)*N9</f>
        <v>2070</v>
      </c>
      <c r="P9" s="30">
        <f>VLOOKUP(C9,'Party Master'!$A$2:$J$273,10,FALSE)*N9</f>
        <v>2070</v>
      </c>
      <c r="Q9" s="30">
        <f>+VLOOKUP(C9,'Party Master'!$A$2:$K$273,11,FALSE)*N9</f>
        <v>0</v>
      </c>
      <c r="R9" s="30"/>
      <c r="S9" s="30">
        <f t="shared" si="2"/>
        <v>27140</v>
      </c>
      <c r="T9" s="30">
        <v>27140</v>
      </c>
      <c r="U9" s="13" t="s">
        <v>444</v>
      </c>
      <c r="V9" s="30">
        <f t="shared" si="3"/>
        <v>0</v>
      </c>
      <c r="W9" s="30">
        <v>300</v>
      </c>
      <c r="X9" s="30">
        <f t="shared" si="4"/>
        <v>23.3</v>
      </c>
      <c r="Y9" s="41" t="str">
        <f t="shared" si="5"/>
        <v>Complete</v>
      </c>
      <c r="Z9" s="57"/>
    </row>
    <row r="10" ht="13.8" spans="1:27">
      <c r="A10" s="12">
        <v>3</v>
      </c>
      <c r="B10" s="42">
        <v>45405</v>
      </c>
      <c r="C10" s="12">
        <v>1</v>
      </c>
      <c r="D10" s="142" t="str">
        <f>+VLOOKUP(C10,'Party Master'!$A$2:$B$273,2,FALSE)</f>
        <v>XYZ Harness Technologies
</v>
      </c>
      <c r="E10" s="12">
        <v>112</v>
      </c>
      <c r="F10" s="41">
        <v>45402</v>
      </c>
      <c r="G10" s="42" t="s">
        <v>357</v>
      </c>
      <c r="H10" s="143" t="str">
        <f>VLOOKUP(G10,'Stock Statement'!$A$2:$B$149,2,FALSE)</f>
        <v>VFG F-Class Black 3mm</v>
      </c>
      <c r="I10" s="13">
        <v>2000</v>
      </c>
      <c r="J10" s="12" t="str">
        <f>VLOOKUP(G10,'Stock Statement'!$A$3:$I$149,9,FALSE)</f>
        <v>MTRS</v>
      </c>
      <c r="K10" s="30">
        <v>4.75</v>
      </c>
      <c r="L10" s="30">
        <f t="shared" si="0"/>
        <v>9500</v>
      </c>
      <c r="M10" s="30"/>
      <c r="N10" s="30">
        <f t="shared" si="1"/>
        <v>9500</v>
      </c>
      <c r="O10" s="30">
        <f>VLOOKUP(C10,'Party Master'!$A$2:$I$273,9,FALSE)*N10</f>
        <v>855</v>
      </c>
      <c r="P10" s="30">
        <f>VLOOKUP(C10,'Party Master'!$A$2:$J$273,10,FALSE)*N10</f>
        <v>855</v>
      </c>
      <c r="Q10" s="30">
        <f>+VLOOKUP(C10,'Party Master'!$A$2:$K$273,11,FALSE)*N10</f>
        <v>0</v>
      </c>
      <c r="R10" s="30"/>
      <c r="S10" s="30">
        <f t="shared" si="2"/>
        <v>11210</v>
      </c>
      <c r="T10" s="30">
        <v>11210</v>
      </c>
      <c r="U10" s="13" t="s">
        <v>444</v>
      </c>
      <c r="V10" s="30">
        <f t="shared" si="3"/>
        <v>0</v>
      </c>
      <c r="W10" s="30">
        <v>300</v>
      </c>
      <c r="X10" s="30">
        <f t="shared" si="4"/>
        <v>4.9</v>
      </c>
      <c r="Y10" s="41" t="str">
        <f t="shared" si="5"/>
        <v>Complete</v>
      </c>
      <c r="Z10" s="57"/>
      <c r="AA10" s="153"/>
    </row>
    <row r="11" ht="13.8" spans="1:27">
      <c r="A11" s="12">
        <v>4</v>
      </c>
      <c r="B11" s="42">
        <v>45405</v>
      </c>
      <c r="C11" s="12">
        <v>2</v>
      </c>
      <c r="D11" s="142" t="str">
        <f>+VLOOKUP(C11,'Party Master'!$A$2:$B$273,2,FALSE)</f>
        <v>ABC Heaters Pvt. Ltd.</v>
      </c>
      <c r="E11" s="12" t="s">
        <v>445</v>
      </c>
      <c r="F11" s="41">
        <v>45401</v>
      </c>
      <c r="G11" s="42" t="s">
        <v>324</v>
      </c>
      <c r="H11" s="143" t="str">
        <f>VLOOKUP(G11,'Stock Statement'!$A$2:$B$149,2,FALSE)</f>
        <v>Indrayani Industrial Suppliers</v>
      </c>
      <c r="I11" s="13">
        <v>20</v>
      </c>
      <c r="J11" s="12" t="str">
        <f>VLOOKUP(G11,'Stock Statement'!$A$3:$I$149,9,FALSE)</f>
        <v>Ltrs</v>
      </c>
      <c r="K11" s="30">
        <v>150</v>
      </c>
      <c r="L11" s="30">
        <f t="shared" si="0"/>
        <v>3000</v>
      </c>
      <c r="M11" s="30"/>
      <c r="N11" s="30">
        <f t="shared" si="1"/>
        <v>3000</v>
      </c>
      <c r="O11" s="30">
        <f>VLOOKUP(C11,'Party Master'!$A$2:$I$273,9,FALSE)*N11</f>
        <v>270</v>
      </c>
      <c r="P11" s="30">
        <f>VLOOKUP(C11,'Party Master'!$A$2:$J$273,10,FALSE)*N11</f>
        <v>270</v>
      </c>
      <c r="Q11" s="30">
        <f>+VLOOKUP(C11,'Party Master'!$A$2:$K$273,11,FALSE)*N11</f>
        <v>0</v>
      </c>
      <c r="R11" s="30"/>
      <c r="S11" s="30">
        <f t="shared" si="2"/>
        <v>3540</v>
      </c>
      <c r="T11" s="30">
        <v>3540</v>
      </c>
      <c r="U11" s="13" t="s">
        <v>444</v>
      </c>
      <c r="V11" s="30">
        <f t="shared" si="3"/>
        <v>0</v>
      </c>
      <c r="W11" s="30">
        <v>200</v>
      </c>
      <c r="X11" s="30">
        <f t="shared" si="4"/>
        <v>160</v>
      </c>
      <c r="Y11" s="41" t="str">
        <f t="shared" si="5"/>
        <v>Complete</v>
      </c>
      <c r="AA11" s="153"/>
    </row>
    <row r="12" ht="13.8" spans="1:27">
      <c r="A12" s="12">
        <v>4</v>
      </c>
      <c r="B12" s="42">
        <v>45405</v>
      </c>
      <c r="C12" s="12">
        <v>2</v>
      </c>
      <c r="D12" s="142" t="str">
        <f>+VLOOKUP(C12,'Party Master'!$A$2:$B$273,2,FALSE)</f>
        <v>ABC Heaters Pvt. Ltd.</v>
      </c>
      <c r="E12" s="12" t="s">
        <v>445</v>
      </c>
      <c r="F12" s="41">
        <v>45401</v>
      </c>
      <c r="G12" s="42" t="s">
        <v>321</v>
      </c>
      <c r="H12" s="143" t="str">
        <f>VLOOKUP(G12,'Stock Statement'!$A$2:$B$149,2,FALSE)</f>
        <v>Solder Flux NC400</v>
      </c>
      <c r="I12" s="13">
        <v>10</v>
      </c>
      <c r="J12" s="12" t="str">
        <f>VLOOKUP(G12,'Stock Statement'!$A$3:$I$149,9,FALSE)</f>
        <v>Ltrs</v>
      </c>
      <c r="K12" s="30">
        <v>215</v>
      </c>
      <c r="L12" s="30">
        <f t="shared" si="0"/>
        <v>2150</v>
      </c>
      <c r="M12" s="30"/>
      <c r="N12" s="30">
        <f t="shared" si="1"/>
        <v>2150</v>
      </c>
      <c r="O12" s="30">
        <f>VLOOKUP(C12,'Party Master'!$A$2:$I$273,9,FALSE)*N12</f>
        <v>193.5</v>
      </c>
      <c r="P12" s="30">
        <f>VLOOKUP(C12,'Party Master'!$A$2:$J$273,10,FALSE)*N12</f>
        <v>193.5</v>
      </c>
      <c r="Q12" s="30">
        <f>+VLOOKUP(C12,'Party Master'!$A$2:$K$273,11,FALSE)*N12</f>
        <v>0</v>
      </c>
      <c r="R12" s="30"/>
      <c r="S12" s="30">
        <f t="shared" si="2"/>
        <v>2537</v>
      </c>
      <c r="T12" s="30">
        <v>2537</v>
      </c>
      <c r="U12" s="13" t="s">
        <v>444</v>
      </c>
      <c r="V12" s="30">
        <f t="shared" si="3"/>
        <v>0</v>
      </c>
      <c r="W12" s="30">
        <v>120</v>
      </c>
      <c r="X12" s="30">
        <f t="shared" si="4"/>
        <v>227</v>
      </c>
      <c r="Y12" s="41" t="str">
        <f t="shared" si="5"/>
        <v>Complete</v>
      </c>
      <c r="AA12" s="153"/>
    </row>
    <row r="13" ht="13.8" spans="1:25">
      <c r="A13" s="12">
        <v>7</v>
      </c>
      <c r="B13" s="42">
        <v>45422</v>
      </c>
      <c r="C13" s="12">
        <v>2</v>
      </c>
      <c r="D13" s="142" t="str">
        <f>+VLOOKUP(C13,'Party Master'!$A$2:$B$273,2,FALSE)</f>
        <v>ABC Heaters Pvt. Ltd.</v>
      </c>
      <c r="E13" s="12" t="s">
        <v>446</v>
      </c>
      <c r="F13" s="41">
        <v>45420</v>
      </c>
      <c r="G13" s="42" t="s">
        <v>324</v>
      </c>
      <c r="H13" s="143" t="str">
        <f>VLOOKUP(G13,'Stock Statement'!$A$2:$B$149,2,FALSE)</f>
        <v>Indrayani Industrial Suppliers</v>
      </c>
      <c r="I13" s="13">
        <v>20</v>
      </c>
      <c r="J13" s="12" t="str">
        <f>VLOOKUP(G13,'Stock Statement'!$A$3:$I$149,9,FALSE)</f>
        <v>Ltrs</v>
      </c>
      <c r="K13" s="30">
        <v>150</v>
      </c>
      <c r="L13" s="30">
        <f t="shared" si="0"/>
        <v>3000</v>
      </c>
      <c r="M13" s="30"/>
      <c r="N13" s="30">
        <f t="shared" si="1"/>
        <v>3000</v>
      </c>
      <c r="O13" s="30">
        <f>VLOOKUP(C13,'Party Master'!$A$2:$I$273,9,FALSE)*N13</f>
        <v>270</v>
      </c>
      <c r="P13" s="30">
        <f>VLOOKUP(C13,'Party Master'!$A$2:$J$273,10,FALSE)*N13</f>
        <v>270</v>
      </c>
      <c r="Q13" s="30">
        <f>+VLOOKUP(C13,'Party Master'!$A$2:$K$273,11,FALSE)*N13</f>
        <v>0</v>
      </c>
      <c r="R13" s="30"/>
      <c r="S13" s="30">
        <f t="shared" si="2"/>
        <v>3540</v>
      </c>
      <c r="T13" s="30">
        <v>3540</v>
      </c>
      <c r="U13" s="13" t="s">
        <v>447</v>
      </c>
      <c r="V13" s="30">
        <f t="shared" si="3"/>
        <v>0</v>
      </c>
      <c r="W13" s="30">
        <v>200</v>
      </c>
      <c r="X13" s="30">
        <f t="shared" si="4"/>
        <v>160</v>
      </c>
      <c r="Y13" s="41" t="str">
        <f t="shared" si="5"/>
        <v>Complete</v>
      </c>
    </row>
    <row r="14" ht="13.8" spans="1:25">
      <c r="A14" s="12">
        <v>7</v>
      </c>
      <c r="B14" s="42">
        <v>45422</v>
      </c>
      <c r="C14" s="12">
        <v>2</v>
      </c>
      <c r="D14" s="142" t="str">
        <f>+VLOOKUP(C14,'Party Master'!$A$2:$B$273,2,FALSE)</f>
        <v>ABC Heaters Pvt. Ltd.</v>
      </c>
      <c r="E14" s="12" t="s">
        <v>446</v>
      </c>
      <c r="F14" s="41">
        <v>45420</v>
      </c>
      <c r="G14" s="42" t="s">
        <v>321</v>
      </c>
      <c r="H14" s="143" t="str">
        <f>VLOOKUP(G14,'Stock Statement'!$A$2:$B$149,2,FALSE)</f>
        <v>Solder Flux NC400</v>
      </c>
      <c r="I14" s="13">
        <v>10</v>
      </c>
      <c r="J14" s="12" t="str">
        <f>VLOOKUP(G14,'Stock Statement'!$A$3:$I$149,9,FALSE)</f>
        <v>Ltrs</v>
      </c>
      <c r="K14" s="30">
        <v>215</v>
      </c>
      <c r="L14" s="30">
        <f t="shared" si="0"/>
        <v>2150</v>
      </c>
      <c r="M14" s="30"/>
      <c r="N14" s="30">
        <f t="shared" si="1"/>
        <v>2150</v>
      </c>
      <c r="O14" s="30">
        <f>VLOOKUP(C14,'Party Master'!$A$2:$I$273,9,FALSE)*N14</f>
        <v>193.5</v>
      </c>
      <c r="P14" s="30">
        <f>VLOOKUP(C14,'Party Master'!$A$2:$J$273,10,FALSE)*N14</f>
        <v>193.5</v>
      </c>
      <c r="Q14" s="30">
        <f>+VLOOKUP(C14,'Party Master'!$A$2:$K$273,11,FALSE)*N14</f>
        <v>0</v>
      </c>
      <c r="R14" s="30"/>
      <c r="S14" s="30">
        <f t="shared" si="2"/>
        <v>2537</v>
      </c>
      <c r="T14" s="30">
        <v>2537</v>
      </c>
      <c r="U14" s="13" t="s">
        <v>447</v>
      </c>
      <c r="V14" s="30">
        <f t="shared" si="3"/>
        <v>0</v>
      </c>
      <c r="W14" s="30">
        <v>150</v>
      </c>
      <c r="X14" s="30">
        <f t="shared" si="4"/>
        <v>230</v>
      </c>
      <c r="Y14" s="41" t="str">
        <f t="shared" si="5"/>
        <v>Complete</v>
      </c>
    </row>
    <row r="15" ht="13.8" spans="1:25">
      <c r="A15" s="12">
        <v>8</v>
      </c>
      <c r="B15" s="42">
        <v>45428</v>
      </c>
      <c r="C15" s="12">
        <v>12</v>
      </c>
      <c r="D15" s="142" t="str">
        <f>+VLOOKUP(C15,'Party Master'!$A$2:$B$273,2,FALSE)</f>
        <v>QWE Instruments &amp; Transformers Pvt. Ltd.</v>
      </c>
      <c r="E15" s="12" t="s">
        <v>448</v>
      </c>
      <c r="F15" s="41">
        <v>45421</v>
      </c>
      <c r="G15" s="42" t="s">
        <v>268</v>
      </c>
      <c r="H15" s="143" t="str">
        <f>VLOOKUP(G15,'Stock Statement'!$A$2:$B$149,2,FALSE)</f>
        <v>PIDISEAL SL 4001</v>
      </c>
      <c r="I15" s="13">
        <v>20</v>
      </c>
      <c r="J15" s="12" t="str">
        <f>VLOOKUP(G15,'Stock Statement'!$A$3:$I$149,9,FALSE)</f>
        <v>NOS</v>
      </c>
      <c r="K15" s="30">
        <v>350</v>
      </c>
      <c r="L15" s="30">
        <f t="shared" si="0"/>
        <v>7000</v>
      </c>
      <c r="M15" s="30">
        <v>400</v>
      </c>
      <c r="N15" s="30">
        <f t="shared" si="1"/>
        <v>7400</v>
      </c>
      <c r="O15" s="30">
        <f>VLOOKUP(C15,'Party Master'!$A$2:$I$273,9,FALSE)*N15</f>
        <v>666</v>
      </c>
      <c r="P15" s="30">
        <f>VLOOKUP(C15,'Party Master'!$A$2:$J$273,10,FALSE)*N15</f>
        <v>666</v>
      </c>
      <c r="Q15" s="30">
        <f>+VLOOKUP(C15,'Party Master'!$A$2:$K$273,11,FALSE)*N15</f>
        <v>0</v>
      </c>
      <c r="R15" s="30"/>
      <c r="S15" s="30">
        <f t="shared" si="2"/>
        <v>8732</v>
      </c>
      <c r="T15" s="30">
        <v>8732</v>
      </c>
      <c r="U15" s="13" t="s">
        <v>449</v>
      </c>
      <c r="V15" s="30">
        <f t="shared" si="3"/>
        <v>0</v>
      </c>
      <c r="W15" s="30"/>
      <c r="X15" s="30">
        <f t="shared" si="4"/>
        <v>370</v>
      </c>
      <c r="Y15" s="41" t="str">
        <f>+IF(T15&gt;0,"Complete",F15+15)</f>
        <v>Complete</v>
      </c>
    </row>
    <row r="16" ht="13.8" spans="1:25">
      <c r="A16" s="12">
        <v>9</v>
      </c>
      <c r="B16" s="42">
        <v>45449</v>
      </c>
      <c r="C16" s="12">
        <v>2</v>
      </c>
      <c r="D16" s="142" t="str">
        <f>+VLOOKUP(C16,'Party Master'!$A$2:$B$273,2,FALSE)</f>
        <v>ABC Heaters Pvt. Ltd.</v>
      </c>
      <c r="E16" s="12" t="s">
        <v>450</v>
      </c>
      <c r="F16" s="41">
        <v>45443</v>
      </c>
      <c r="G16" s="42" t="s">
        <v>324</v>
      </c>
      <c r="H16" s="143" t="str">
        <f>VLOOKUP(G16,'Stock Statement'!$A$2:$B$149,2,FALSE)</f>
        <v>Indrayani Industrial Suppliers</v>
      </c>
      <c r="I16" s="13">
        <v>40</v>
      </c>
      <c r="J16" s="12" t="str">
        <f>VLOOKUP(G16,'Stock Statement'!$A$3:$I$149,9,FALSE)</f>
        <v>Ltrs</v>
      </c>
      <c r="K16" s="30">
        <v>150</v>
      </c>
      <c r="L16" s="30">
        <f t="shared" si="0"/>
        <v>6000</v>
      </c>
      <c r="M16" s="30"/>
      <c r="N16" s="30">
        <f t="shared" si="1"/>
        <v>6000</v>
      </c>
      <c r="O16" s="30">
        <f>VLOOKUP(C16,'Party Master'!$A$2:$I$273,9,FALSE)*N16</f>
        <v>540</v>
      </c>
      <c r="P16" s="30">
        <f>VLOOKUP(C16,'Party Master'!$A$2:$J$273,10,FALSE)*N16</f>
        <v>540</v>
      </c>
      <c r="Q16" s="30">
        <f>+VLOOKUP(C16,'Party Master'!$A$2:$K$273,11,FALSE)*N16</f>
        <v>0</v>
      </c>
      <c r="R16" s="30"/>
      <c r="S16" s="30">
        <f t="shared" si="2"/>
        <v>7080</v>
      </c>
      <c r="T16" s="30">
        <v>7080</v>
      </c>
      <c r="U16" s="13" t="s">
        <v>451</v>
      </c>
      <c r="V16" s="30">
        <f t="shared" si="3"/>
        <v>0</v>
      </c>
      <c r="W16" s="30">
        <v>320</v>
      </c>
      <c r="X16" s="30">
        <f t="shared" si="4"/>
        <v>158</v>
      </c>
      <c r="Y16" s="41" t="str">
        <f t="shared" ref="Y16:Y28" si="6">+IF(T16&gt;0,"Complete",F16+30)</f>
        <v>Complete</v>
      </c>
    </row>
    <row r="17" ht="13.8" spans="1:25">
      <c r="A17" s="12">
        <v>12</v>
      </c>
      <c r="B17" s="42">
        <v>45470</v>
      </c>
      <c r="C17" s="12">
        <v>6</v>
      </c>
      <c r="D17" s="142" t="str">
        <f>+VLOOKUP(C17,'Party Master'!$A$2:$B$273,2,FALSE)</f>
        <v>RST Transformers Pvt. Ltd.</v>
      </c>
      <c r="E17" s="12">
        <v>788</v>
      </c>
      <c r="F17" s="41">
        <v>45467</v>
      </c>
      <c r="G17" s="42" t="s">
        <v>379</v>
      </c>
      <c r="H17" s="143" t="str">
        <f>VLOOKUP(G17,'Stock Statement'!$A$2:$B$149,2,FALSE)</f>
        <v>VFG F-Class White 4mm</v>
      </c>
      <c r="I17" s="13">
        <v>2000</v>
      </c>
      <c r="J17" s="12" t="str">
        <f>VLOOKUP(G17,'Stock Statement'!$A$3:$I$149,9,FALSE)</f>
        <v>MTRS</v>
      </c>
      <c r="K17" s="30">
        <v>3</v>
      </c>
      <c r="L17" s="30">
        <f t="shared" si="0"/>
        <v>6000</v>
      </c>
      <c r="M17" s="30">
        <v>50</v>
      </c>
      <c r="N17" s="30">
        <f t="shared" si="1"/>
        <v>6050</v>
      </c>
      <c r="O17" s="30">
        <f>VLOOKUP(C17,'Party Master'!$A$2:$I$273,9,FALSE)*N17</f>
        <v>544.5</v>
      </c>
      <c r="P17" s="30">
        <f>VLOOKUP(C17,'Party Master'!$A$2:$J$273,10,FALSE)*N17</f>
        <v>544.5</v>
      </c>
      <c r="Q17" s="30">
        <f>+VLOOKUP(C17,'Party Master'!$A$2:$K$273,11,FALSE)*N17</f>
        <v>0</v>
      </c>
      <c r="R17" s="30">
        <v>0</v>
      </c>
      <c r="S17" s="30">
        <f t="shared" si="2"/>
        <v>7139</v>
      </c>
      <c r="T17" s="30">
        <v>7139</v>
      </c>
      <c r="U17" s="13" t="s">
        <v>452</v>
      </c>
      <c r="V17" s="30">
        <f t="shared" si="3"/>
        <v>0</v>
      </c>
      <c r="W17" s="30">
        <v>150</v>
      </c>
      <c r="X17" s="30">
        <f t="shared" si="4"/>
        <v>3.1</v>
      </c>
      <c r="Y17" s="41" t="str">
        <f t="shared" si="6"/>
        <v>Complete</v>
      </c>
    </row>
    <row r="18" ht="13.8" spans="1:25">
      <c r="A18" s="12">
        <v>13</v>
      </c>
      <c r="B18" s="42">
        <v>45470</v>
      </c>
      <c r="C18" s="12">
        <v>2</v>
      </c>
      <c r="D18" s="142" t="str">
        <f>+VLOOKUP(C18,'Party Master'!$A$2:$B$273,2,FALSE)</f>
        <v>ABC Heaters Pvt. Ltd.</v>
      </c>
      <c r="E18" s="12" t="s">
        <v>453</v>
      </c>
      <c r="F18" s="41">
        <v>45469</v>
      </c>
      <c r="G18" s="42" t="s">
        <v>324</v>
      </c>
      <c r="H18" s="143" t="str">
        <f>VLOOKUP(G18,'Stock Statement'!$A$2:$B$149,2,FALSE)</f>
        <v>Indrayani Industrial Suppliers</v>
      </c>
      <c r="I18" s="13">
        <v>20</v>
      </c>
      <c r="J18" s="12" t="str">
        <f>VLOOKUP(G18,'Stock Statement'!$A$3:$I$149,9,FALSE)</f>
        <v>Ltrs</v>
      </c>
      <c r="K18" s="30">
        <v>150</v>
      </c>
      <c r="L18" s="30">
        <f t="shared" si="0"/>
        <v>3000</v>
      </c>
      <c r="M18" s="30"/>
      <c r="N18" s="30">
        <f t="shared" si="1"/>
        <v>3000</v>
      </c>
      <c r="O18" s="30">
        <f>VLOOKUP(C18,'Party Master'!$A$2:$I$273,9,FALSE)*N18</f>
        <v>270</v>
      </c>
      <c r="P18" s="30">
        <f>VLOOKUP(C18,'Party Master'!$A$2:$J$273,10,FALSE)*N18</f>
        <v>270</v>
      </c>
      <c r="Q18" s="30">
        <f>+VLOOKUP(C18,'Party Master'!$A$2:$K$273,11,FALSE)*N18</f>
        <v>0</v>
      </c>
      <c r="R18" s="30">
        <v>0</v>
      </c>
      <c r="S18" s="30">
        <f t="shared" si="2"/>
        <v>3540</v>
      </c>
      <c r="T18" s="30">
        <v>3540</v>
      </c>
      <c r="U18" s="13" t="s">
        <v>451</v>
      </c>
      <c r="V18" s="30">
        <f t="shared" si="3"/>
        <v>0</v>
      </c>
      <c r="W18" s="30">
        <v>320</v>
      </c>
      <c r="X18" s="30">
        <f t="shared" si="4"/>
        <v>166</v>
      </c>
      <c r="Y18" s="41" t="str">
        <f t="shared" si="6"/>
        <v>Complete</v>
      </c>
    </row>
    <row r="19" ht="13.8" spans="1:26">
      <c r="A19" s="12">
        <v>13</v>
      </c>
      <c r="B19" s="42">
        <v>45470</v>
      </c>
      <c r="C19" s="12">
        <v>2</v>
      </c>
      <c r="D19" s="142" t="str">
        <f>+VLOOKUP(C19,'Party Master'!$A$2:$B$273,2,FALSE)</f>
        <v>ABC Heaters Pvt. Ltd.</v>
      </c>
      <c r="E19" s="12" t="s">
        <v>453</v>
      </c>
      <c r="F19" s="41">
        <v>45469</v>
      </c>
      <c r="G19" s="42" t="s">
        <v>321</v>
      </c>
      <c r="H19" s="143" t="str">
        <f>VLOOKUP(G19,'Stock Statement'!$A$2:$B$149,2,FALSE)</f>
        <v>Solder Flux NC400</v>
      </c>
      <c r="I19" s="13">
        <v>10</v>
      </c>
      <c r="J19" s="12" t="str">
        <f>VLOOKUP(G19,'Stock Statement'!$A$3:$I$149,9,FALSE)</f>
        <v>Ltrs</v>
      </c>
      <c r="K19" s="30">
        <v>215</v>
      </c>
      <c r="L19" s="30">
        <f t="shared" si="0"/>
        <v>2150</v>
      </c>
      <c r="M19" s="30"/>
      <c r="N19" s="30">
        <f t="shared" si="1"/>
        <v>2150</v>
      </c>
      <c r="O19" s="30">
        <f>VLOOKUP(C19,'Party Master'!$A$2:$I$273,9,FALSE)*N19</f>
        <v>193.5</v>
      </c>
      <c r="P19" s="30">
        <f>VLOOKUP(C19,'Party Master'!$A$2:$J$273,10,FALSE)*N19</f>
        <v>193.5</v>
      </c>
      <c r="Q19" s="30">
        <f>+VLOOKUP(C19,'Party Master'!$A$2:$K$273,11,FALSE)*N19</f>
        <v>0</v>
      </c>
      <c r="R19" s="30"/>
      <c r="S19" s="30">
        <f t="shared" si="2"/>
        <v>2537</v>
      </c>
      <c r="T19" s="30">
        <v>2537</v>
      </c>
      <c r="U19" s="13" t="s">
        <v>451</v>
      </c>
      <c r="V19" s="30">
        <f t="shared" si="3"/>
        <v>0</v>
      </c>
      <c r="W19" s="30"/>
      <c r="X19" s="30">
        <f t="shared" si="4"/>
        <v>215</v>
      </c>
      <c r="Y19" s="41" t="str">
        <f t="shared" si="6"/>
        <v>Complete</v>
      </c>
      <c r="Z19" s="57"/>
    </row>
    <row r="20" ht="13.8" spans="1:25">
      <c r="A20" s="12">
        <v>16</v>
      </c>
      <c r="B20" s="42">
        <v>45485</v>
      </c>
      <c r="C20" s="12">
        <v>2</v>
      </c>
      <c r="D20" s="142" t="str">
        <f>+VLOOKUP(C20,'Party Master'!$A$2:$B$273,2,FALSE)</f>
        <v>ABC Heaters Pvt. Ltd.</v>
      </c>
      <c r="E20" s="12" t="s">
        <v>454</v>
      </c>
      <c r="F20" s="41">
        <v>45485</v>
      </c>
      <c r="G20" s="42" t="s">
        <v>324</v>
      </c>
      <c r="H20" s="143" t="str">
        <f>VLOOKUP(G20,'Stock Statement'!$A$2:$B$149,2,FALSE)</f>
        <v>Indrayani Industrial Suppliers</v>
      </c>
      <c r="I20" s="13">
        <v>20</v>
      </c>
      <c r="J20" s="12" t="str">
        <f>VLOOKUP(G20,'Stock Statement'!$A$3:$I$149,9,FALSE)</f>
        <v>Ltrs</v>
      </c>
      <c r="K20" s="30">
        <v>150</v>
      </c>
      <c r="L20" s="30">
        <f t="shared" si="0"/>
        <v>3000</v>
      </c>
      <c r="M20" s="30"/>
      <c r="N20" s="30">
        <f t="shared" si="1"/>
        <v>3000</v>
      </c>
      <c r="O20" s="30">
        <f>VLOOKUP(C20,'Party Master'!$A$2:$I$273,9,FALSE)*N20</f>
        <v>270</v>
      </c>
      <c r="P20" s="30">
        <f>VLOOKUP(C20,'Party Master'!$A$2:$J$273,10,FALSE)*N20</f>
        <v>270</v>
      </c>
      <c r="Q20" s="30">
        <f>+VLOOKUP(C20,'Party Master'!$A$2:$K$273,11,FALSE)*N20</f>
        <v>0</v>
      </c>
      <c r="R20" s="30"/>
      <c r="S20" s="30">
        <f t="shared" si="2"/>
        <v>3540</v>
      </c>
      <c r="T20" s="30">
        <v>3540</v>
      </c>
      <c r="U20" s="13" t="s">
        <v>455</v>
      </c>
      <c r="V20" s="30">
        <f t="shared" si="3"/>
        <v>0</v>
      </c>
      <c r="W20" s="30">
        <v>320</v>
      </c>
      <c r="X20" s="30">
        <f t="shared" si="4"/>
        <v>166</v>
      </c>
      <c r="Y20" s="41" t="str">
        <f t="shared" si="6"/>
        <v>Complete</v>
      </c>
    </row>
    <row r="21" ht="13.8" spans="1:25">
      <c r="A21" s="12">
        <v>17</v>
      </c>
      <c r="B21" s="42">
        <v>45498</v>
      </c>
      <c r="C21" s="12">
        <v>6</v>
      </c>
      <c r="D21" s="142" t="str">
        <f>+VLOOKUP(C21,'Party Master'!$A$2:$B$273,2,FALSE)</f>
        <v>RST Transformers Pvt. Ltd.</v>
      </c>
      <c r="E21" s="12">
        <v>1062</v>
      </c>
      <c r="F21" s="41">
        <v>45494</v>
      </c>
      <c r="G21" s="42" t="s">
        <v>375</v>
      </c>
      <c r="H21" s="143" t="str">
        <f>VLOOKUP(G21,'Stock Statement'!$A$2:$B$149,2,FALSE)</f>
        <v>VFG F-Class White 2mm</v>
      </c>
      <c r="I21" s="13">
        <v>1000</v>
      </c>
      <c r="J21" s="12" t="str">
        <f>VLOOKUP(G21,'Stock Statement'!$A$3:$I$149,9,FALSE)</f>
        <v>MTRS</v>
      </c>
      <c r="K21" s="30">
        <v>1.5</v>
      </c>
      <c r="L21" s="30">
        <f t="shared" si="0"/>
        <v>1500</v>
      </c>
      <c r="M21" s="30">
        <v>30</v>
      </c>
      <c r="N21" s="30">
        <f t="shared" si="1"/>
        <v>1530</v>
      </c>
      <c r="O21" s="30">
        <f>VLOOKUP(C21,'Party Master'!$A$2:$I$273,9,FALSE)*N21</f>
        <v>137.7</v>
      </c>
      <c r="P21" s="30">
        <f>VLOOKUP(C21,'Party Master'!$A$2:$J$273,10,FALSE)*N21</f>
        <v>137.7</v>
      </c>
      <c r="Q21" s="30">
        <f>+VLOOKUP(C21,'Party Master'!$A$2:$K$273,11,FALSE)*N21</f>
        <v>0</v>
      </c>
      <c r="R21" s="30">
        <v>0.1</v>
      </c>
      <c r="S21" s="30">
        <f t="shared" si="2"/>
        <v>1805.5</v>
      </c>
      <c r="T21" s="30">
        <v>1805.5</v>
      </c>
      <c r="U21" s="13" t="s">
        <v>456</v>
      </c>
      <c r="V21" s="30">
        <f t="shared" si="3"/>
        <v>0</v>
      </c>
      <c r="W21" s="30">
        <v>150</v>
      </c>
      <c r="X21" s="30">
        <f t="shared" si="4"/>
        <v>1.68</v>
      </c>
      <c r="Y21" s="41" t="str">
        <f t="shared" si="6"/>
        <v>Complete</v>
      </c>
    </row>
    <row r="22" ht="13.8" spans="1:27">
      <c r="A22" s="12">
        <v>17</v>
      </c>
      <c r="B22" s="42">
        <v>45498</v>
      </c>
      <c r="C22" s="12">
        <v>6</v>
      </c>
      <c r="D22" s="142" t="str">
        <f>+VLOOKUP(C22,'Party Master'!$A$2:$B$273,2,FALSE)</f>
        <v>RST Transformers Pvt. Ltd.</v>
      </c>
      <c r="E22" s="12">
        <v>1062</v>
      </c>
      <c r="F22" s="41">
        <v>45494</v>
      </c>
      <c r="G22" s="42" t="s">
        <v>377</v>
      </c>
      <c r="H22" s="143" t="str">
        <f>VLOOKUP(G22,'Stock Statement'!$A$2:$B$149,2,FALSE)</f>
        <v>VFG F-Class White 3mm</v>
      </c>
      <c r="I22" s="13">
        <v>1000</v>
      </c>
      <c r="J22" s="12" t="str">
        <f>VLOOKUP(G22,'Stock Statement'!$A$3:$I$149,9,FALSE)</f>
        <v>MTRS</v>
      </c>
      <c r="K22" s="30">
        <v>2.25</v>
      </c>
      <c r="L22" s="30">
        <f t="shared" si="0"/>
        <v>2250</v>
      </c>
      <c r="M22" s="30">
        <v>30</v>
      </c>
      <c r="N22" s="30">
        <f t="shared" si="1"/>
        <v>2280</v>
      </c>
      <c r="O22" s="30">
        <f>VLOOKUP(C22,'Party Master'!$A$2:$I$273,9,FALSE)*N22</f>
        <v>205.2</v>
      </c>
      <c r="P22" s="30">
        <f>VLOOKUP(C22,'Party Master'!$A$2:$J$273,10,FALSE)*N22</f>
        <v>205.2</v>
      </c>
      <c r="Q22" s="30">
        <f>+VLOOKUP(C22,'Party Master'!$A$2:$K$273,11,FALSE)*N22</f>
        <v>0</v>
      </c>
      <c r="R22" s="30">
        <v>0.1</v>
      </c>
      <c r="S22" s="30">
        <f t="shared" si="2"/>
        <v>2690.5</v>
      </c>
      <c r="T22" s="30">
        <v>2690.5</v>
      </c>
      <c r="U22" s="13" t="s">
        <v>456</v>
      </c>
      <c r="V22" s="30">
        <f t="shared" si="3"/>
        <v>0</v>
      </c>
      <c r="W22" s="30">
        <v>150</v>
      </c>
      <c r="X22" s="30">
        <f t="shared" si="4"/>
        <v>2.43</v>
      </c>
      <c r="Y22" s="41" t="str">
        <f t="shared" si="6"/>
        <v>Complete</v>
      </c>
      <c r="Z22" s="57"/>
      <c r="AA22" s="57"/>
    </row>
    <row r="23" ht="13.8" spans="1:27">
      <c r="A23" s="12">
        <v>18</v>
      </c>
      <c r="B23" s="42">
        <v>45502</v>
      </c>
      <c r="C23" s="12">
        <v>2</v>
      </c>
      <c r="D23" s="142" t="str">
        <f>+VLOOKUP(C23,'Party Master'!$A$2:$B$273,2,FALSE)</f>
        <v>ABC Heaters Pvt. Ltd.</v>
      </c>
      <c r="E23" s="12" t="s">
        <v>457</v>
      </c>
      <c r="F23" s="41">
        <v>45499</v>
      </c>
      <c r="G23" s="42" t="s">
        <v>324</v>
      </c>
      <c r="H23" s="143" t="str">
        <f>VLOOKUP(G23,'Stock Statement'!$A$2:$B$149,2,FALSE)</f>
        <v>Indrayani Industrial Suppliers</v>
      </c>
      <c r="I23" s="13">
        <v>40</v>
      </c>
      <c r="J23" s="12" t="str">
        <f>VLOOKUP(G23,'Stock Statement'!$A$3:$I$149,9,FALSE)</f>
        <v>Ltrs</v>
      </c>
      <c r="K23" s="30">
        <v>150</v>
      </c>
      <c r="L23" s="30">
        <f t="shared" si="0"/>
        <v>6000</v>
      </c>
      <c r="M23" s="30"/>
      <c r="N23" s="30">
        <f t="shared" si="1"/>
        <v>6000</v>
      </c>
      <c r="O23" s="30">
        <f>VLOOKUP(C23,'Party Master'!$A$2:$I$273,9,FALSE)*N23</f>
        <v>540</v>
      </c>
      <c r="P23" s="30">
        <f>VLOOKUP(C23,'Party Master'!$A$2:$J$273,10,FALSE)*N23</f>
        <v>540</v>
      </c>
      <c r="Q23" s="30">
        <f>+VLOOKUP(C23,'Party Master'!$A$2:$K$273,11,FALSE)*N23</f>
        <v>0</v>
      </c>
      <c r="R23" s="30"/>
      <c r="S23" s="30">
        <f t="shared" si="2"/>
        <v>7080</v>
      </c>
      <c r="T23" s="30">
        <v>7080</v>
      </c>
      <c r="U23" s="13" t="s">
        <v>455</v>
      </c>
      <c r="V23" s="30">
        <f t="shared" si="3"/>
        <v>0</v>
      </c>
      <c r="W23" s="30">
        <v>355</v>
      </c>
      <c r="X23" s="30">
        <f t="shared" si="4"/>
        <v>158.875</v>
      </c>
      <c r="Y23" s="41" t="str">
        <f t="shared" si="6"/>
        <v>Complete</v>
      </c>
      <c r="Z23" s="57"/>
      <c r="AA23" s="57"/>
    </row>
    <row r="24" ht="13.8" spans="1:27">
      <c r="A24" s="12">
        <v>18</v>
      </c>
      <c r="B24" s="42">
        <v>45502</v>
      </c>
      <c r="C24" s="12">
        <v>2</v>
      </c>
      <c r="D24" s="142" t="str">
        <f>+VLOOKUP(C24,'Party Master'!$A$2:$B$273,2,FALSE)</f>
        <v>ABC Heaters Pvt. Ltd.</v>
      </c>
      <c r="E24" s="12" t="s">
        <v>457</v>
      </c>
      <c r="F24" s="41">
        <v>45499</v>
      </c>
      <c r="G24" s="42" t="s">
        <v>321</v>
      </c>
      <c r="H24" s="143" t="str">
        <f>VLOOKUP(G24,'Stock Statement'!$A$2:$B$149,2,FALSE)</f>
        <v>Solder Flux NC400</v>
      </c>
      <c r="I24" s="13">
        <v>20</v>
      </c>
      <c r="J24" s="12" t="str">
        <f>VLOOKUP(G24,'Stock Statement'!$A$3:$I$149,9,FALSE)</f>
        <v>Ltrs</v>
      </c>
      <c r="K24" s="30">
        <v>215</v>
      </c>
      <c r="L24" s="30">
        <f t="shared" si="0"/>
        <v>4300</v>
      </c>
      <c r="M24" s="30"/>
      <c r="N24" s="30">
        <f t="shared" si="1"/>
        <v>4300</v>
      </c>
      <c r="O24" s="30">
        <f>VLOOKUP(C24,'Party Master'!$A$2:$I$273,9,FALSE)*N24</f>
        <v>387</v>
      </c>
      <c r="P24" s="30">
        <f>VLOOKUP(C24,'Party Master'!$A$2:$J$273,10,FALSE)*N24</f>
        <v>387</v>
      </c>
      <c r="Q24" s="30">
        <f>+VLOOKUP(C24,'Party Master'!$A$2:$K$273,11,FALSE)*N24</f>
        <v>0</v>
      </c>
      <c r="R24" s="30"/>
      <c r="S24" s="30">
        <f t="shared" si="2"/>
        <v>5074</v>
      </c>
      <c r="T24" s="30">
        <v>5074</v>
      </c>
      <c r="U24" s="13" t="s">
        <v>455</v>
      </c>
      <c r="V24" s="30">
        <f t="shared" si="3"/>
        <v>0</v>
      </c>
      <c r="W24" s="30">
        <v>155</v>
      </c>
      <c r="X24" s="30">
        <f t="shared" si="4"/>
        <v>222.75</v>
      </c>
      <c r="Y24" s="41" t="str">
        <f t="shared" si="6"/>
        <v>Complete</v>
      </c>
      <c r="Z24" s="57"/>
      <c r="AA24" s="57"/>
    </row>
    <row r="25" ht="13.8" spans="1:27">
      <c r="A25" s="12">
        <v>20</v>
      </c>
      <c r="B25" s="42">
        <v>45512</v>
      </c>
      <c r="C25" s="12">
        <v>6</v>
      </c>
      <c r="D25" s="142" t="str">
        <f>+VLOOKUP(C25,'Party Master'!$A$2:$B$273,2,FALSE)</f>
        <v>RST Transformers Pvt. Ltd.</v>
      </c>
      <c r="E25" s="12">
        <v>1182</v>
      </c>
      <c r="F25" s="41">
        <v>45505</v>
      </c>
      <c r="G25" s="144" t="s">
        <v>379</v>
      </c>
      <c r="H25" s="143" t="str">
        <f>VLOOKUP(G25,'Stock Statement'!$A$2:$B$149,2,FALSE)</f>
        <v>VFG F-Class White 4mm</v>
      </c>
      <c r="I25" s="13">
        <v>2000</v>
      </c>
      <c r="J25" s="12" t="str">
        <f>VLOOKUP(G25,'Stock Statement'!$A$3:$I$149,9,FALSE)</f>
        <v>MTRS</v>
      </c>
      <c r="K25" s="30">
        <v>3</v>
      </c>
      <c r="L25" s="30">
        <f t="shared" si="0"/>
        <v>6000</v>
      </c>
      <c r="M25" s="30">
        <v>80</v>
      </c>
      <c r="N25" s="30">
        <f t="shared" si="1"/>
        <v>6080</v>
      </c>
      <c r="O25" s="30">
        <f>VLOOKUP(C25,'Party Master'!$A$2:$I$273,9,FALSE)*N25</f>
        <v>547.2</v>
      </c>
      <c r="P25" s="30">
        <f>VLOOKUP(C25,'Party Master'!$A$2:$J$273,10,FALSE)*N25</f>
        <v>547.2</v>
      </c>
      <c r="Q25" s="30">
        <f>+VLOOKUP(C25,'Party Master'!$A$2:$K$273,11,FALSE)*N25</f>
        <v>0</v>
      </c>
      <c r="R25" s="30">
        <v>-0.4</v>
      </c>
      <c r="S25" s="30">
        <f t="shared" si="2"/>
        <v>7174</v>
      </c>
      <c r="T25" s="30">
        <v>7174</v>
      </c>
      <c r="U25" s="13" t="s">
        <v>456</v>
      </c>
      <c r="V25" s="30">
        <f t="shared" si="3"/>
        <v>0</v>
      </c>
      <c r="W25" s="30">
        <v>150</v>
      </c>
      <c r="X25" s="30">
        <f t="shared" si="4"/>
        <v>3.115</v>
      </c>
      <c r="Y25" s="41" t="str">
        <f t="shared" si="6"/>
        <v>Complete</v>
      </c>
      <c r="Z25" s="57"/>
      <c r="AA25" s="57"/>
    </row>
    <row r="26" ht="13.8" spans="1:27">
      <c r="A26" s="12">
        <v>22</v>
      </c>
      <c r="B26" s="42">
        <v>45525</v>
      </c>
      <c r="C26" s="12">
        <v>4</v>
      </c>
      <c r="D26" s="142" t="str">
        <f>+VLOOKUP(C26,'Party Master'!$A$2:$B$273,2,FALSE)</f>
        <v>LMN Precision tools limited</v>
      </c>
      <c r="E26" s="12" t="s">
        <v>458</v>
      </c>
      <c r="F26" s="41">
        <v>45522</v>
      </c>
      <c r="G26" s="12" t="s">
        <v>158</v>
      </c>
      <c r="H26" s="143" t="str">
        <f>VLOOKUP(G26,'Stock Statement'!$A$2:$B$149,2,FALSE)</f>
        <v>CRAPE PAPER BROWN 4mil 1 Inch</v>
      </c>
      <c r="I26" s="13">
        <v>28</v>
      </c>
      <c r="J26" s="12" t="str">
        <f>VLOOKUP(G26,'Stock Statement'!$A$3:$I$149,9,FALSE)</f>
        <v>KGS</v>
      </c>
      <c r="K26" s="30">
        <v>200</v>
      </c>
      <c r="L26" s="30">
        <f t="shared" si="0"/>
        <v>5600</v>
      </c>
      <c r="M26" s="30"/>
      <c r="N26" s="30">
        <f t="shared" si="1"/>
        <v>5600</v>
      </c>
      <c r="O26" s="30">
        <f>VLOOKUP(C26,'Party Master'!$A$2:$I$273,9,FALSE)*N26</f>
        <v>140</v>
      </c>
      <c r="P26" s="30">
        <f>VLOOKUP(C26,'Party Master'!$A$2:$J$273,10,FALSE)*N26</f>
        <v>140</v>
      </c>
      <c r="Q26" s="30">
        <f>+VLOOKUP(C26,'Party Master'!$A$2:$K$273,11,FALSE)*N26</f>
        <v>0</v>
      </c>
      <c r="R26" s="30"/>
      <c r="S26" s="30">
        <f t="shared" si="2"/>
        <v>5880</v>
      </c>
      <c r="T26" s="30">
        <v>6272</v>
      </c>
      <c r="U26" s="13" t="s">
        <v>456</v>
      </c>
      <c r="V26" s="30">
        <f t="shared" si="3"/>
        <v>-392</v>
      </c>
      <c r="W26" s="30">
        <v>320</v>
      </c>
      <c r="X26" s="30">
        <f t="shared" si="4"/>
        <v>211.428571428571</v>
      </c>
      <c r="Y26" s="41" t="str">
        <f t="shared" si="6"/>
        <v>Complete</v>
      </c>
      <c r="Z26" s="57"/>
      <c r="AA26" s="57"/>
    </row>
    <row r="27" ht="13.8" spans="1:27">
      <c r="A27" s="12">
        <v>23</v>
      </c>
      <c r="B27" s="42">
        <v>45535</v>
      </c>
      <c r="C27" s="12">
        <v>2</v>
      </c>
      <c r="D27" s="142" t="str">
        <f>+VLOOKUP(C27,'Party Master'!$A$2:$B$273,2,FALSE)</f>
        <v>ABC Heaters Pvt. Ltd.</v>
      </c>
      <c r="E27" s="12" t="s">
        <v>459</v>
      </c>
      <c r="F27" s="41">
        <v>45534</v>
      </c>
      <c r="G27" s="12" t="s">
        <v>332</v>
      </c>
      <c r="H27" s="143" t="str">
        <f>VLOOKUP(G27,'Stock Statement'!$A$2:$B$149,2,FALSE)</f>
        <v>Solder Wire </v>
      </c>
      <c r="I27" s="13">
        <v>3</v>
      </c>
      <c r="J27" s="12" t="str">
        <f>VLOOKUP(G27,'Stock Statement'!$A$3:$I$149,9,FALSE)</f>
        <v>KGS</v>
      </c>
      <c r="K27" s="30">
        <v>1750</v>
      </c>
      <c r="L27" s="30">
        <f t="shared" si="0"/>
        <v>5250</v>
      </c>
      <c r="M27" s="30">
        <v>0</v>
      </c>
      <c r="N27" s="30">
        <f t="shared" si="1"/>
        <v>5250</v>
      </c>
      <c r="O27" s="30">
        <f>VLOOKUP(C27,'Party Master'!$A$2:$I$273,9,FALSE)*N27</f>
        <v>472.5</v>
      </c>
      <c r="P27" s="30">
        <f>VLOOKUP(C27,'Party Master'!$A$2:$J$273,10,FALSE)*N27</f>
        <v>472.5</v>
      </c>
      <c r="Q27" s="30">
        <f>+VLOOKUP(C27,'Party Master'!$A$2:$K$273,11,FALSE)*N27</f>
        <v>0</v>
      </c>
      <c r="R27" s="30"/>
      <c r="S27" s="30">
        <f t="shared" si="2"/>
        <v>6195</v>
      </c>
      <c r="T27" s="30">
        <v>6195</v>
      </c>
      <c r="U27" s="13" t="s">
        <v>460</v>
      </c>
      <c r="V27" s="30">
        <f t="shared" si="3"/>
        <v>0</v>
      </c>
      <c r="W27" s="30">
        <v>150</v>
      </c>
      <c r="X27" s="30">
        <f t="shared" si="4"/>
        <v>1800</v>
      </c>
      <c r="Y27" s="41" t="str">
        <f t="shared" si="6"/>
        <v>Complete</v>
      </c>
      <c r="Z27" s="57"/>
      <c r="AA27" s="57"/>
    </row>
    <row r="28" ht="13.8" spans="1:27">
      <c r="A28" s="12">
        <v>24</v>
      </c>
      <c r="B28" s="42">
        <v>45542</v>
      </c>
      <c r="C28" s="12">
        <v>2</v>
      </c>
      <c r="D28" s="142" t="str">
        <f>+VLOOKUP(C28,'Party Master'!$A$2:$B$273,2,FALSE)</f>
        <v>ABC Heaters Pvt. Ltd.</v>
      </c>
      <c r="E28" s="12" t="s">
        <v>461</v>
      </c>
      <c r="F28" s="41">
        <v>45539</v>
      </c>
      <c r="G28" s="12" t="s">
        <v>332</v>
      </c>
      <c r="H28" s="143" t="str">
        <f>VLOOKUP(G28,'Stock Statement'!$A$2:$B$149,2,FALSE)</f>
        <v>Solder Wire </v>
      </c>
      <c r="I28" s="13">
        <v>4</v>
      </c>
      <c r="J28" s="12" t="str">
        <f>VLOOKUP(G28,'Stock Statement'!$A$3:$I$149,9,FALSE)</f>
        <v>KGS</v>
      </c>
      <c r="K28" s="30">
        <v>1750</v>
      </c>
      <c r="L28" s="30">
        <f t="shared" si="0"/>
        <v>7000</v>
      </c>
      <c r="M28" s="30"/>
      <c r="N28" s="30">
        <f t="shared" si="1"/>
        <v>7000</v>
      </c>
      <c r="O28" s="30">
        <f>VLOOKUP(C28,'Party Master'!$A$2:$I$273,9,FALSE)*N28</f>
        <v>630</v>
      </c>
      <c r="P28" s="30">
        <f>VLOOKUP(C28,'Party Master'!$A$2:$J$273,10,FALSE)*N28</f>
        <v>630</v>
      </c>
      <c r="Q28" s="30">
        <f>+VLOOKUP(C28,'Party Master'!$A$2:$K$273,11,FALSE)*N28</f>
        <v>0</v>
      </c>
      <c r="R28" s="30"/>
      <c r="S28" s="30">
        <f t="shared" si="2"/>
        <v>8260</v>
      </c>
      <c r="T28" s="30">
        <v>8260</v>
      </c>
      <c r="U28" s="13" t="s">
        <v>460</v>
      </c>
      <c r="V28" s="30">
        <f t="shared" si="3"/>
        <v>0</v>
      </c>
      <c r="W28" s="30">
        <v>150</v>
      </c>
      <c r="X28" s="30">
        <f t="shared" si="4"/>
        <v>1787.5</v>
      </c>
      <c r="Y28" s="41" t="str">
        <f t="shared" si="6"/>
        <v>Complete</v>
      </c>
      <c r="Z28" s="57"/>
      <c r="AA28" s="57"/>
    </row>
    <row r="29" ht="13.8" spans="1:27">
      <c r="A29" s="12">
        <v>27</v>
      </c>
      <c r="B29" s="42">
        <v>45564</v>
      </c>
      <c r="C29" s="12">
        <v>2</v>
      </c>
      <c r="D29" s="142" t="str">
        <f>+VLOOKUP(C29,'Party Master'!$A$2:$B$273,2,FALSE)</f>
        <v>ABC Heaters Pvt. Ltd.</v>
      </c>
      <c r="E29" s="12" t="s">
        <v>462</v>
      </c>
      <c r="F29" s="41">
        <v>45562</v>
      </c>
      <c r="G29" s="12" t="s">
        <v>332</v>
      </c>
      <c r="H29" s="143" t="str">
        <f>VLOOKUP(G29,'Stock Statement'!$A$2:$B$149,2,FALSE)</f>
        <v>Solder Wire </v>
      </c>
      <c r="I29" s="13">
        <v>3</v>
      </c>
      <c r="J29" s="12" t="str">
        <f>VLOOKUP(G29,'Stock Statement'!$A$3:$I$149,9,FALSE)</f>
        <v>KGS</v>
      </c>
      <c r="K29" s="30">
        <v>1760</v>
      </c>
      <c r="L29" s="30">
        <f t="shared" si="0"/>
        <v>5280</v>
      </c>
      <c r="M29" s="30"/>
      <c r="N29" s="30">
        <f t="shared" si="1"/>
        <v>5280</v>
      </c>
      <c r="O29" s="30">
        <f>VLOOKUP(C29,'Party Master'!$A$2:$I$273,9,FALSE)*N29</f>
        <v>475.2</v>
      </c>
      <c r="P29" s="30">
        <f>VLOOKUP(C29,'Party Master'!$A$2:$J$273,10,FALSE)*N29</f>
        <v>475.2</v>
      </c>
      <c r="Q29" s="30">
        <f>+VLOOKUP(C29,'Party Master'!$A$2:$K$273,11,FALSE)*N29</f>
        <v>0</v>
      </c>
      <c r="R29" s="30">
        <v>-0.4</v>
      </c>
      <c r="S29" s="30">
        <f t="shared" si="2"/>
        <v>6230</v>
      </c>
      <c r="T29" s="30">
        <v>6230</v>
      </c>
      <c r="U29" s="13" t="s">
        <v>463</v>
      </c>
      <c r="V29" s="30">
        <f t="shared" si="3"/>
        <v>0</v>
      </c>
      <c r="W29" s="30">
        <v>150</v>
      </c>
      <c r="X29" s="30">
        <f t="shared" si="4"/>
        <v>1810</v>
      </c>
      <c r="Y29" s="41" t="str">
        <f>+IF(T29&gt;0,"Complete",F29+10)</f>
        <v>Complete</v>
      </c>
      <c r="Z29" s="57"/>
      <c r="AA29" s="57"/>
    </row>
    <row r="30" ht="13.8" spans="1:25">
      <c r="A30" s="12">
        <v>28</v>
      </c>
      <c r="B30" s="42">
        <v>45567</v>
      </c>
      <c r="C30" s="12">
        <v>6</v>
      </c>
      <c r="D30" s="142" t="str">
        <f>+VLOOKUP(C30,'Party Master'!$A$2:$B$273,2,FALSE)</f>
        <v>RST Transformers Pvt. Ltd.</v>
      </c>
      <c r="E30" s="145">
        <v>1763</v>
      </c>
      <c r="F30" s="41">
        <v>45565</v>
      </c>
      <c r="G30" s="42" t="s">
        <v>375</v>
      </c>
      <c r="H30" s="143" t="str">
        <f>VLOOKUP(G30,'Stock Statement'!$A$2:$B$149,2,FALSE)</f>
        <v>VFG F-Class White 2mm</v>
      </c>
      <c r="I30" s="13">
        <v>2000</v>
      </c>
      <c r="J30" s="12" t="str">
        <f>VLOOKUP(G30,'Stock Statement'!$A$3:$I$149,9,FALSE)</f>
        <v>MTRS</v>
      </c>
      <c r="K30" s="30">
        <v>1.5</v>
      </c>
      <c r="L30" s="30">
        <f t="shared" si="0"/>
        <v>3000</v>
      </c>
      <c r="M30" s="30">
        <v>60</v>
      </c>
      <c r="N30" s="30">
        <f t="shared" si="1"/>
        <v>3060</v>
      </c>
      <c r="O30" s="30">
        <f>VLOOKUP(C30,'Party Master'!$A$2:$I$273,9,FALSE)*N30</f>
        <v>275.4</v>
      </c>
      <c r="P30" s="30">
        <f>VLOOKUP(C30,'Party Master'!$A$2:$J$273,10,FALSE)*N30</f>
        <v>275.4</v>
      </c>
      <c r="Q30" s="30">
        <f>+VLOOKUP(C30,'Party Master'!$A$2:$K$273,11,FALSE)*N30</f>
        <v>0</v>
      </c>
      <c r="R30" s="30">
        <v>0.2</v>
      </c>
      <c r="S30" s="30">
        <f t="shared" si="2"/>
        <v>3611</v>
      </c>
      <c r="T30" s="30">
        <v>3611</v>
      </c>
      <c r="U30" s="13" t="s">
        <v>464</v>
      </c>
      <c r="V30" s="30">
        <f t="shared" si="3"/>
        <v>0</v>
      </c>
      <c r="W30" s="30">
        <v>150</v>
      </c>
      <c r="X30" s="30">
        <f t="shared" si="4"/>
        <v>1.605</v>
      </c>
      <c r="Y30" s="41" t="str">
        <f>+IF(T30&gt;0,"Complete",F30+10)</f>
        <v>Complete</v>
      </c>
    </row>
    <row r="31" s="4" customFormat="1" ht="13.8" spans="1:25">
      <c r="A31" s="12">
        <v>31</v>
      </c>
      <c r="B31" s="42">
        <v>45579</v>
      </c>
      <c r="C31" s="12">
        <v>1</v>
      </c>
      <c r="D31" s="142" t="str">
        <f>+VLOOKUP(C31,'Party Master'!$A$2:$B$273,2,FALSE)</f>
        <v>XYZ Harness Technologies
</v>
      </c>
      <c r="E31" s="146">
        <v>1040</v>
      </c>
      <c r="F31" s="41">
        <v>45575</v>
      </c>
      <c r="G31" s="147" t="s">
        <v>252</v>
      </c>
      <c r="H31" s="143" t="str">
        <f>VLOOKUP(G31,'Stock Statement'!$A$2:$B$149,2,FALSE)</f>
        <v>HST Black 7.9mm with Adhessive</v>
      </c>
      <c r="I31" s="143">
        <v>1000</v>
      </c>
      <c r="J31" s="12" t="str">
        <f>VLOOKUP(G31,'Stock Statement'!$A$3:$I$149,9,FALSE)</f>
        <v>MTRS</v>
      </c>
      <c r="K31" s="151">
        <v>23</v>
      </c>
      <c r="L31" s="151">
        <f t="shared" si="0"/>
        <v>23000</v>
      </c>
      <c r="M31" s="151"/>
      <c r="N31" s="151">
        <f t="shared" si="1"/>
        <v>23000</v>
      </c>
      <c r="O31" s="30">
        <f>VLOOKUP(C31,'Party Master'!$A$2:$I$273,9,FALSE)*N31</f>
        <v>2070</v>
      </c>
      <c r="P31" s="30">
        <f>VLOOKUP(C31,'Party Master'!$A$2:$J$273,10,FALSE)*N31</f>
        <v>2070</v>
      </c>
      <c r="Q31" s="30">
        <f>+VLOOKUP(C31,'Party Master'!$A$2:$K$273,11,FALSE)*N31</f>
        <v>0</v>
      </c>
      <c r="R31" s="30"/>
      <c r="S31" s="30">
        <f t="shared" si="2"/>
        <v>27140</v>
      </c>
      <c r="T31" s="30">
        <v>27140</v>
      </c>
      <c r="U31" s="41" t="s">
        <v>465</v>
      </c>
      <c r="V31" s="30">
        <f t="shared" si="3"/>
        <v>0</v>
      </c>
      <c r="W31" s="151">
        <v>400</v>
      </c>
      <c r="X31" s="30">
        <f t="shared" si="4"/>
        <v>23.4</v>
      </c>
      <c r="Y31" s="41" t="str">
        <f>+IF(T31&gt;0,"Complete",F31+30)</f>
        <v>Complete</v>
      </c>
    </row>
    <row r="32" ht="13.8" spans="1:25">
      <c r="A32" s="12">
        <v>33</v>
      </c>
      <c r="B32" s="42">
        <v>45579</v>
      </c>
      <c r="C32" s="12">
        <v>12</v>
      </c>
      <c r="D32" s="142" t="str">
        <f>+VLOOKUP(C32,'Party Master'!$A$2:$B$273,2,FALSE)</f>
        <v>QWE Instruments &amp; Transformers Pvt. Ltd.</v>
      </c>
      <c r="E32" s="145" t="s">
        <v>466</v>
      </c>
      <c r="F32" s="41">
        <v>45576</v>
      </c>
      <c r="G32" s="42" t="s">
        <v>268</v>
      </c>
      <c r="H32" s="143" t="str">
        <f>VLOOKUP(G32,'Stock Statement'!$A$2:$B$149,2,FALSE)</f>
        <v>PIDISEAL SL 4001</v>
      </c>
      <c r="I32" s="13">
        <v>20</v>
      </c>
      <c r="J32" s="12" t="str">
        <f>VLOOKUP(G32,'Stock Statement'!$A$3:$I$149,9,FALSE)</f>
        <v>NOS</v>
      </c>
      <c r="K32" s="30">
        <v>350</v>
      </c>
      <c r="L32" s="30">
        <f t="shared" si="0"/>
        <v>7000</v>
      </c>
      <c r="M32" s="30">
        <v>300</v>
      </c>
      <c r="N32" s="30">
        <f t="shared" si="1"/>
        <v>7300</v>
      </c>
      <c r="O32" s="30">
        <f>VLOOKUP(C32,'Party Master'!$A$2:$I$273,9,FALSE)*N32</f>
        <v>657</v>
      </c>
      <c r="P32" s="30">
        <f>VLOOKUP(C32,'Party Master'!$A$2:$J$273,10,FALSE)*N32</f>
        <v>657</v>
      </c>
      <c r="Q32" s="30">
        <f>+VLOOKUP(C32,'Party Master'!$A$2:$K$273,11,FALSE)*N32</f>
        <v>0</v>
      </c>
      <c r="R32" s="30"/>
      <c r="S32" s="30">
        <f t="shared" si="2"/>
        <v>8614</v>
      </c>
      <c r="T32" s="30">
        <v>8614</v>
      </c>
      <c r="U32" s="13" t="s">
        <v>467</v>
      </c>
      <c r="V32" s="30">
        <f t="shared" si="3"/>
        <v>0</v>
      </c>
      <c r="W32" s="30">
        <v>300</v>
      </c>
      <c r="X32" s="30">
        <f t="shared" si="4"/>
        <v>380</v>
      </c>
      <c r="Y32" s="41" t="str">
        <f>+IF(T32&gt;0,"Complete",F32+30)</f>
        <v>Complete</v>
      </c>
    </row>
    <row r="33" ht="13.8" spans="1:25">
      <c r="A33" s="12">
        <v>36</v>
      </c>
      <c r="B33" s="42">
        <v>45590</v>
      </c>
      <c r="C33" s="12">
        <v>5</v>
      </c>
      <c r="D33" s="142" t="str">
        <f>+VLOOKUP(C33,'Party Master'!$A$2:$B$273,2,FALSE)</f>
        <v>OPQ Manufacturing Industries Ltd. E-3</v>
      </c>
      <c r="E33" s="12" t="s">
        <v>468</v>
      </c>
      <c r="F33" s="41">
        <v>45586</v>
      </c>
      <c r="G33" s="12" t="s">
        <v>319</v>
      </c>
      <c r="H33" s="143" t="str">
        <f>VLOOKUP(G33,'Stock Statement'!$A$2:$B$149,2,FALSE)</f>
        <v>SFG H-Class Yellow 3mm</v>
      </c>
      <c r="I33" s="13">
        <v>2000</v>
      </c>
      <c r="J33" s="12" t="str">
        <f>VLOOKUP(G33,'Stock Statement'!$A$3:$I$149,9,FALSE)</f>
        <v>MTRS</v>
      </c>
      <c r="K33" s="30">
        <v>8.95</v>
      </c>
      <c r="L33" s="30">
        <f t="shared" si="0"/>
        <v>17900</v>
      </c>
      <c r="M33" s="30"/>
      <c r="N33" s="30">
        <f t="shared" si="1"/>
        <v>17900</v>
      </c>
      <c r="O33" s="30">
        <f>VLOOKUP(C33,'Party Master'!$A$2:$I$273,9,FALSE)*N33</f>
        <v>1611</v>
      </c>
      <c r="P33" s="30">
        <f>VLOOKUP(C33,'Party Master'!$A$2:$J$273,10,FALSE)*N33</f>
        <v>1611</v>
      </c>
      <c r="Q33" s="30">
        <f>+VLOOKUP(C33,'Party Master'!$A$2:$K$273,11,FALSE)*N33</f>
        <v>0</v>
      </c>
      <c r="R33" s="30"/>
      <c r="S33" s="30">
        <f t="shared" si="2"/>
        <v>21122</v>
      </c>
      <c r="T33" s="30">
        <v>21122</v>
      </c>
      <c r="U33" s="13" t="s">
        <v>464</v>
      </c>
      <c r="V33" s="30">
        <f t="shared" si="3"/>
        <v>0</v>
      </c>
      <c r="W33" s="30">
        <v>450</v>
      </c>
      <c r="X33" s="30">
        <f t="shared" si="4"/>
        <v>9.175</v>
      </c>
      <c r="Y33" s="41" t="str">
        <f>+IF(T33&gt;0,"Complete",F33+45)</f>
        <v>Complete</v>
      </c>
    </row>
    <row r="34" ht="13.8" spans="1:25">
      <c r="A34" s="12">
        <v>37</v>
      </c>
      <c r="B34" s="42">
        <v>45591</v>
      </c>
      <c r="C34" s="12">
        <v>4</v>
      </c>
      <c r="D34" s="142" t="str">
        <f>+VLOOKUP(C34,'Party Master'!$A$2:$B$273,2,FALSE)</f>
        <v>LMN Precision tools limited</v>
      </c>
      <c r="E34" s="12" t="s">
        <v>469</v>
      </c>
      <c r="F34" s="41">
        <v>45584</v>
      </c>
      <c r="G34" s="147" t="s">
        <v>158</v>
      </c>
      <c r="H34" s="143" t="str">
        <f>VLOOKUP(G34,'Stock Statement'!$A$2:$B$149,2,FALSE)</f>
        <v>CRAPE PAPER BROWN 4mil 1 Inch</v>
      </c>
      <c r="I34" s="143">
        <v>32.7</v>
      </c>
      <c r="J34" s="12" t="str">
        <f>VLOOKUP(G34,'Stock Statement'!$A$3:$I$149,9,FALSE)</f>
        <v>KGS</v>
      </c>
      <c r="K34" s="151">
        <v>200</v>
      </c>
      <c r="L34" s="30">
        <f t="shared" si="0"/>
        <v>6540</v>
      </c>
      <c r="M34" s="30"/>
      <c r="N34" s="30">
        <f t="shared" si="1"/>
        <v>6540</v>
      </c>
      <c r="O34" s="30">
        <f>VLOOKUP(C34,'Party Master'!$A$2:$I$273,9,FALSE)*N34</f>
        <v>163.5</v>
      </c>
      <c r="P34" s="30">
        <f>VLOOKUP(C34,'Party Master'!$A$2:$J$273,10,FALSE)*N34</f>
        <v>163.5</v>
      </c>
      <c r="Q34" s="30">
        <f>+VLOOKUP(C34,'Party Master'!$A$2:$K$273,11,FALSE)*N34</f>
        <v>0</v>
      </c>
      <c r="R34" s="30">
        <v>0.2</v>
      </c>
      <c r="S34" s="30">
        <f t="shared" si="2"/>
        <v>6867.2</v>
      </c>
      <c r="T34" s="30">
        <v>7325</v>
      </c>
      <c r="U34" s="41" t="s">
        <v>470</v>
      </c>
      <c r="V34" s="30">
        <f t="shared" si="3"/>
        <v>-457.799999999999</v>
      </c>
      <c r="W34" s="30">
        <v>450</v>
      </c>
      <c r="X34" s="30">
        <f t="shared" si="4"/>
        <v>213.761467889908</v>
      </c>
      <c r="Y34" s="41" t="str">
        <f>+IF(T34&gt;0,"Complete",F34+30)</f>
        <v>Complete</v>
      </c>
    </row>
    <row r="35" ht="13.8" spans="1:25">
      <c r="A35" s="12">
        <v>38</v>
      </c>
      <c r="B35" s="42">
        <v>45592</v>
      </c>
      <c r="C35" s="12">
        <v>2</v>
      </c>
      <c r="D35" s="142" t="str">
        <f>+VLOOKUP(C35,'Party Master'!$A$2:$B$273,2,FALSE)</f>
        <v>ABC Heaters Pvt. Ltd.</v>
      </c>
      <c r="E35" s="12" t="s">
        <v>471</v>
      </c>
      <c r="F35" s="41">
        <v>45592</v>
      </c>
      <c r="G35" s="147" t="s">
        <v>332</v>
      </c>
      <c r="H35" s="143" t="str">
        <f>VLOOKUP(G35,'Stock Statement'!$A$2:$B$149,2,FALSE)</f>
        <v>Solder Wire </v>
      </c>
      <c r="I35" s="143">
        <v>2</v>
      </c>
      <c r="J35" s="12" t="str">
        <f>VLOOKUP(G35,'Stock Statement'!$A$3:$I$149,9,FALSE)</f>
        <v>KGS</v>
      </c>
      <c r="K35" s="151">
        <v>1680</v>
      </c>
      <c r="L35" s="30">
        <f t="shared" si="0"/>
        <v>3360</v>
      </c>
      <c r="M35" s="30"/>
      <c r="N35" s="30">
        <f t="shared" si="1"/>
        <v>3360</v>
      </c>
      <c r="O35" s="30">
        <f>VLOOKUP(C35,'Party Master'!$A$2:$I$273,9,FALSE)*N35</f>
        <v>302.4</v>
      </c>
      <c r="P35" s="30">
        <f>VLOOKUP(C35,'Party Master'!$A$2:$J$273,10,FALSE)*N35</f>
        <v>302.4</v>
      </c>
      <c r="Q35" s="30">
        <f>+VLOOKUP(C35,'Party Master'!$A$2:$K$273,11,FALSE)*N35</f>
        <v>0</v>
      </c>
      <c r="R35" s="30">
        <v>0.2</v>
      </c>
      <c r="S35" s="30">
        <f t="shared" si="2"/>
        <v>3965</v>
      </c>
      <c r="T35" s="30">
        <v>3965</v>
      </c>
      <c r="U35" s="41" t="s">
        <v>463</v>
      </c>
      <c r="V35" s="30">
        <f t="shared" si="3"/>
        <v>0</v>
      </c>
      <c r="W35" s="30"/>
      <c r="X35" s="30">
        <f t="shared" si="4"/>
        <v>1680</v>
      </c>
      <c r="Y35" s="41" t="str">
        <f>+IF(T35&gt;0,"Complete",F35+45)</f>
        <v>Complete</v>
      </c>
    </row>
    <row r="36" ht="13.8" spans="1:25">
      <c r="A36" s="12">
        <v>39</v>
      </c>
      <c r="B36" s="42">
        <v>45592</v>
      </c>
      <c r="C36" s="12">
        <v>2</v>
      </c>
      <c r="D36" s="142" t="str">
        <f>+VLOOKUP(C36,'Party Master'!$A$2:$B$273,2,FALSE)</f>
        <v>ABC Heaters Pvt. Ltd.</v>
      </c>
      <c r="E36" s="12" t="s">
        <v>472</v>
      </c>
      <c r="F36" s="41">
        <v>45591</v>
      </c>
      <c r="G36" s="42" t="s">
        <v>332</v>
      </c>
      <c r="H36" s="143" t="str">
        <f>VLOOKUP(G36,'Stock Statement'!$A$2:$B$149,2,FALSE)</f>
        <v>Solder Wire </v>
      </c>
      <c r="I36" s="13">
        <v>3</v>
      </c>
      <c r="J36" s="12" t="str">
        <f>VLOOKUP(G36,'Stock Statement'!$A$3:$I$149,9,FALSE)</f>
        <v>KGS</v>
      </c>
      <c r="K36" s="151">
        <v>1680</v>
      </c>
      <c r="L36" s="30">
        <f t="shared" si="0"/>
        <v>5040</v>
      </c>
      <c r="M36" s="30"/>
      <c r="N36" s="30">
        <f t="shared" si="1"/>
        <v>5040</v>
      </c>
      <c r="O36" s="30">
        <f>VLOOKUP(C36,'Party Master'!$A$2:$I$273,9,FALSE)*N36</f>
        <v>453.6</v>
      </c>
      <c r="P36" s="30">
        <f>VLOOKUP(C36,'Party Master'!$A$2:$J$273,10,FALSE)*N36</f>
        <v>453.6</v>
      </c>
      <c r="Q36" s="30">
        <f>+VLOOKUP(C36,'Party Master'!$A$2:$K$273,11,FALSE)*N36</f>
        <v>0</v>
      </c>
      <c r="R36" s="30">
        <v>-0.2</v>
      </c>
      <c r="S36" s="30">
        <f t="shared" si="2"/>
        <v>5947</v>
      </c>
      <c r="T36" s="30">
        <v>5947</v>
      </c>
      <c r="U36" s="41" t="s">
        <v>473</v>
      </c>
      <c r="V36" s="30">
        <f t="shared" si="3"/>
        <v>0</v>
      </c>
      <c r="W36" s="30"/>
      <c r="X36" s="30">
        <f t="shared" si="4"/>
        <v>1680</v>
      </c>
      <c r="Y36" s="41" t="str">
        <f>+IF(T36&gt;0,"Complete",F36+45)</f>
        <v>Complete</v>
      </c>
    </row>
    <row r="37" ht="13.8" spans="1:25">
      <c r="A37" s="12">
        <v>39</v>
      </c>
      <c r="B37" s="42">
        <v>45592</v>
      </c>
      <c r="C37" s="12">
        <v>2</v>
      </c>
      <c r="D37" s="142" t="str">
        <f>+VLOOKUP(C37,'Party Master'!$A$2:$B$273,2,FALSE)</f>
        <v>ABC Heaters Pvt. Ltd.</v>
      </c>
      <c r="E37" s="12" t="s">
        <v>472</v>
      </c>
      <c r="F37" s="41">
        <v>45591</v>
      </c>
      <c r="G37" s="42" t="s">
        <v>330</v>
      </c>
      <c r="H37" s="143" t="str">
        <f>VLOOKUP(G37,'Stock Statement'!$A$2:$B$149,2,FALSE)</f>
        <v>Solder Rod 63/37</v>
      </c>
      <c r="I37" s="13">
        <v>5</v>
      </c>
      <c r="J37" s="12" t="str">
        <f>VLOOKUP(G37,'Stock Statement'!$A$3:$I$149,9,FALSE)</f>
        <v>KGS</v>
      </c>
      <c r="K37" s="30">
        <v>1650</v>
      </c>
      <c r="L37" s="30">
        <f t="shared" si="0"/>
        <v>8250</v>
      </c>
      <c r="M37" s="30"/>
      <c r="N37" s="30">
        <f t="shared" si="1"/>
        <v>8250</v>
      </c>
      <c r="O37" s="30">
        <f>VLOOKUP(C37,'Party Master'!$A$2:$I$273,9,FALSE)*N37</f>
        <v>742.5</v>
      </c>
      <c r="P37" s="30">
        <f>VLOOKUP(C37,'Party Master'!$A$2:$J$273,10,FALSE)*N37</f>
        <v>742.5</v>
      </c>
      <c r="Q37" s="30">
        <f>+VLOOKUP(C37,'Party Master'!$A$2:$K$273,11,FALSE)*N37</f>
        <v>0</v>
      </c>
      <c r="R37" s="30"/>
      <c r="S37" s="30">
        <f t="shared" si="2"/>
        <v>9735</v>
      </c>
      <c r="T37" s="30">
        <v>9735</v>
      </c>
      <c r="U37" s="41" t="s">
        <v>473</v>
      </c>
      <c r="V37" s="30">
        <f t="shared" si="3"/>
        <v>0</v>
      </c>
      <c r="W37" s="30"/>
      <c r="X37" s="30">
        <f t="shared" si="4"/>
        <v>1650</v>
      </c>
      <c r="Y37" s="41" t="str">
        <f>+IF(T37&gt;0,"Complete",F37+45)</f>
        <v>Complete</v>
      </c>
    </row>
    <row r="38" ht="13.8" spans="1:25">
      <c r="A38" s="12">
        <v>30</v>
      </c>
      <c r="B38" s="42">
        <v>45598</v>
      </c>
      <c r="C38" s="12">
        <v>2</v>
      </c>
      <c r="D38" s="142" t="str">
        <f>+VLOOKUP(C38,'Party Master'!$A$2:$B$273,2,FALSE)</f>
        <v>ABC Heaters Pvt. Ltd.</v>
      </c>
      <c r="E38" s="12" t="s">
        <v>474</v>
      </c>
      <c r="F38" s="41">
        <v>45597</v>
      </c>
      <c r="G38" s="12" t="s">
        <v>321</v>
      </c>
      <c r="H38" s="143" t="str">
        <f>VLOOKUP(G38,'Stock Statement'!$A$2:$B$149,2,FALSE)</f>
        <v>Solder Flux NC400</v>
      </c>
      <c r="I38" s="13">
        <v>20</v>
      </c>
      <c r="J38" s="12" t="str">
        <f>VLOOKUP(G38,'Stock Statement'!$A$3:$I$149,9,FALSE)</f>
        <v>Ltrs</v>
      </c>
      <c r="K38" s="30">
        <v>215</v>
      </c>
      <c r="L38" s="30">
        <f t="shared" si="0"/>
        <v>4300</v>
      </c>
      <c r="M38" s="30">
        <v>350</v>
      </c>
      <c r="N38" s="30">
        <f t="shared" si="1"/>
        <v>4650</v>
      </c>
      <c r="O38" s="30">
        <f>VLOOKUP(C38,'Party Master'!$A$2:$I$273,9,FALSE)*N38</f>
        <v>418.5</v>
      </c>
      <c r="P38" s="30">
        <f>VLOOKUP(C38,'Party Master'!$A$2:$J$273,10,FALSE)*N38</f>
        <v>418.5</v>
      </c>
      <c r="Q38" s="30">
        <f>+VLOOKUP(C38,'Party Master'!$A$2:$K$273,11,FALSE)*N38</f>
        <v>0</v>
      </c>
      <c r="R38" s="30">
        <v>0</v>
      </c>
      <c r="S38" s="30">
        <f t="shared" si="2"/>
        <v>5487</v>
      </c>
      <c r="T38" s="30">
        <v>5487</v>
      </c>
      <c r="U38" s="41" t="s">
        <v>473</v>
      </c>
      <c r="V38" s="30">
        <f t="shared" si="3"/>
        <v>0</v>
      </c>
      <c r="W38" s="30"/>
      <c r="X38" s="30">
        <f t="shared" si="4"/>
        <v>232.5</v>
      </c>
      <c r="Y38" s="41" t="str">
        <f>+IF(T38&gt;0,"Complete",F38+45)</f>
        <v>Complete</v>
      </c>
    </row>
    <row r="39" ht="13.8" spans="1:25">
      <c r="A39" s="12">
        <v>31</v>
      </c>
      <c r="B39" s="42">
        <v>45604</v>
      </c>
      <c r="C39" s="12">
        <v>2</v>
      </c>
      <c r="D39" s="142" t="str">
        <f>+VLOOKUP(C39,'Party Master'!$A$2:$B$273,2,FALSE)</f>
        <v>ABC Heaters Pvt. Ltd.</v>
      </c>
      <c r="E39" s="12" t="s">
        <v>475</v>
      </c>
      <c r="F39" s="41">
        <v>45604</v>
      </c>
      <c r="G39" s="12" t="s">
        <v>332</v>
      </c>
      <c r="H39" s="143" t="str">
        <f>VLOOKUP(G39,'Stock Statement'!$A$2:$B$149,2,FALSE)</f>
        <v>Solder Wire </v>
      </c>
      <c r="I39" s="13">
        <v>3</v>
      </c>
      <c r="J39" s="12" t="str">
        <f>VLOOKUP(G39,'Stock Statement'!$A$3:$I$149,9,FALSE)</f>
        <v>KGS</v>
      </c>
      <c r="K39" s="30">
        <v>1680</v>
      </c>
      <c r="L39" s="30">
        <f t="shared" si="0"/>
        <v>5040</v>
      </c>
      <c r="M39" s="30">
        <v>120</v>
      </c>
      <c r="N39" s="30">
        <f t="shared" si="1"/>
        <v>5160</v>
      </c>
      <c r="O39" s="30">
        <f>VLOOKUP(C39,'Party Master'!$A$2:$I$273,9,FALSE)*N39</f>
        <v>464.4</v>
      </c>
      <c r="P39" s="30">
        <f>VLOOKUP(C39,'Party Master'!$A$2:$J$273,10,FALSE)*N39</f>
        <v>464.4</v>
      </c>
      <c r="Q39" s="30">
        <f>+VLOOKUP(C39,'Party Master'!$A$2:$K$273,11,FALSE)*N39</f>
        <v>0</v>
      </c>
      <c r="R39" s="30">
        <v>0.2</v>
      </c>
      <c r="S39" s="30">
        <f t="shared" si="2"/>
        <v>6089</v>
      </c>
      <c r="T39" s="30">
        <v>6089</v>
      </c>
      <c r="U39" s="41" t="s">
        <v>473</v>
      </c>
      <c r="V39" s="30">
        <f t="shared" si="3"/>
        <v>0</v>
      </c>
      <c r="W39" s="30"/>
      <c r="X39" s="30">
        <f t="shared" si="4"/>
        <v>1720</v>
      </c>
      <c r="Y39" s="41" t="str">
        <f>+IF(T39&gt;0,"Complete",F39+45)</f>
        <v>Complete</v>
      </c>
    </row>
    <row r="40" ht="13.8" spans="1:25">
      <c r="A40" s="18">
        <v>33</v>
      </c>
      <c r="B40" s="46">
        <v>45642</v>
      </c>
      <c r="C40" s="18">
        <v>2</v>
      </c>
      <c r="D40" s="148" t="str">
        <f>+VLOOKUP(C40,'Party Master'!$A$2:$B$273,2,FALSE)</f>
        <v>ABC Heaters Pvt. Ltd.</v>
      </c>
      <c r="E40" s="18" t="s">
        <v>476</v>
      </c>
      <c r="F40" s="45">
        <v>45638</v>
      </c>
      <c r="G40" s="46" t="s">
        <v>324</v>
      </c>
      <c r="H40" s="149" t="str">
        <f>VLOOKUP(G40,'Stock Statement'!$A$2:$B$149,2,FALSE)</f>
        <v>Indrayani Industrial Suppliers</v>
      </c>
      <c r="I40" s="19">
        <v>20</v>
      </c>
      <c r="J40" s="18" t="str">
        <f>VLOOKUP(G40,'Stock Statement'!$A$3:$I$149,9,FALSE)</f>
        <v>Ltrs</v>
      </c>
      <c r="K40" s="34">
        <v>150</v>
      </c>
      <c r="L40" s="34">
        <f t="shared" si="0"/>
        <v>3000</v>
      </c>
      <c r="M40" s="34"/>
      <c r="N40" s="34">
        <f t="shared" si="1"/>
        <v>3000</v>
      </c>
      <c r="O40" s="34">
        <f>VLOOKUP(C40,'Party Master'!$A$2:$I$273,9,FALSE)*N40</f>
        <v>270</v>
      </c>
      <c r="P40" s="34">
        <f>VLOOKUP(C40,'Party Master'!$A$2:$J$273,10,FALSE)*N40</f>
        <v>270</v>
      </c>
      <c r="Q40" s="34">
        <f>+VLOOKUP(C40,'Party Master'!$A$2:$K$273,11,FALSE)*N40</f>
        <v>0</v>
      </c>
      <c r="R40" s="34"/>
      <c r="S40" s="34">
        <f t="shared" si="2"/>
        <v>3540</v>
      </c>
      <c r="T40" s="34"/>
      <c r="U40" s="19"/>
      <c r="V40" s="34">
        <f t="shared" si="3"/>
        <v>3540</v>
      </c>
      <c r="W40" s="34"/>
      <c r="X40" s="34">
        <v>500</v>
      </c>
      <c r="Y40" s="45">
        <f t="shared" ref="Y40:Y45" si="7">+IF(T40&gt;0,"Complete",F40+30)</f>
        <v>45668</v>
      </c>
    </row>
    <row r="41" ht="13.8" spans="1:25">
      <c r="A41" s="18">
        <v>34</v>
      </c>
      <c r="B41" s="46">
        <v>45644</v>
      </c>
      <c r="C41" s="18">
        <v>1</v>
      </c>
      <c r="D41" s="148" t="str">
        <f>+VLOOKUP(C41,'Party Master'!$A$2:$B$273,2,FALSE)</f>
        <v>XYZ Harness Technologies
</v>
      </c>
      <c r="E41" s="18" t="s">
        <v>477</v>
      </c>
      <c r="F41" s="45">
        <v>45642</v>
      </c>
      <c r="G41" s="46" t="s">
        <v>252</v>
      </c>
      <c r="H41" s="149" t="str">
        <f>VLOOKUP(G41,'Stock Statement'!$A$2:$B$149,2,FALSE)</f>
        <v>HST Black 7.9mm with Adhessive</v>
      </c>
      <c r="I41" s="19">
        <v>500</v>
      </c>
      <c r="J41" s="18" t="str">
        <f>VLOOKUP(G41,'Stock Statement'!$A$3:$I$149,9,FALSE)</f>
        <v>MTRS</v>
      </c>
      <c r="K41" s="34">
        <v>23</v>
      </c>
      <c r="L41" s="34">
        <f t="shared" si="0"/>
        <v>11500</v>
      </c>
      <c r="M41" s="34"/>
      <c r="N41" s="34">
        <f t="shared" si="1"/>
        <v>11500</v>
      </c>
      <c r="O41" s="34">
        <f>VLOOKUP(C41,'Party Master'!$A$2:$I$273,9,FALSE)*N41</f>
        <v>1035</v>
      </c>
      <c r="P41" s="34">
        <f>VLOOKUP(C41,'Party Master'!$A$2:$J$273,10,FALSE)*N41</f>
        <v>1035</v>
      </c>
      <c r="Q41" s="34">
        <f>+VLOOKUP(C41,'Party Master'!$A$2:$K$273,11,FALSE)*N41</f>
        <v>0</v>
      </c>
      <c r="R41" s="34"/>
      <c r="S41" s="34">
        <f t="shared" si="2"/>
        <v>13570</v>
      </c>
      <c r="T41" s="34"/>
      <c r="U41" s="19"/>
      <c r="V41" s="34">
        <f t="shared" si="3"/>
        <v>13570</v>
      </c>
      <c r="W41" s="34">
        <v>500</v>
      </c>
      <c r="X41" s="34">
        <f>(N41+W41)/I41</f>
        <v>24</v>
      </c>
      <c r="Y41" s="45">
        <f t="shared" si="7"/>
        <v>45672</v>
      </c>
    </row>
    <row r="42" ht="13.8" spans="1:25">
      <c r="A42" s="18">
        <v>35</v>
      </c>
      <c r="B42" s="46">
        <v>45644</v>
      </c>
      <c r="C42" s="18">
        <v>2</v>
      </c>
      <c r="D42" s="148" t="str">
        <f>+VLOOKUP(C42,'Party Master'!$A$2:$B$273,2,FALSE)</f>
        <v>ABC Heaters Pvt. Ltd.</v>
      </c>
      <c r="E42" s="18" t="s">
        <v>478</v>
      </c>
      <c r="F42" s="45">
        <v>45642</v>
      </c>
      <c r="G42" s="150" t="s">
        <v>332</v>
      </c>
      <c r="H42" s="149" t="str">
        <f>VLOOKUP(G42,'Stock Statement'!$A$2:$B$149,2,FALSE)</f>
        <v>Solder Wire </v>
      </c>
      <c r="I42" s="149">
        <v>3</v>
      </c>
      <c r="J42" s="18" t="str">
        <f>VLOOKUP(G42,'Stock Statement'!$A$3:$I$149,9,FALSE)</f>
        <v>KGS</v>
      </c>
      <c r="K42" s="152">
        <v>1680</v>
      </c>
      <c r="L42" s="34">
        <f t="shared" si="0"/>
        <v>5040</v>
      </c>
      <c r="M42" s="34">
        <v>120</v>
      </c>
      <c r="N42" s="34">
        <f t="shared" si="1"/>
        <v>5160</v>
      </c>
      <c r="O42" s="34">
        <f>VLOOKUP(C42,'Party Master'!$A$2:$I$273,9,FALSE)*N42</f>
        <v>464.4</v>
      </c>
      <c r="P42" s="34">
        <f>VLOOKUP(C42,'Party Master'!$A$2:$J$273,10,FALSE)*N42</f>
        <v>464.4</v>
      </c>
      <c r="Q42" s="34">
        <f>+VLOOKUP(C42,'Party Master'!$A$2:$K$273,11,FALSE)*N42</f>
        <v>0</v>
      </c>
      <c r="R42" s="34">
        <v>0.2</v>
      </c>
      <c r="S42" s="34">
        <f t="shared" si="2"/>
        <v>6089</v>
      </c>
      <c r="T42" s="34"/>
      <c r="U42" s="45"/>
      <c r="V42" s="34">
        <f t="shared" si="3"/>
        <v>6089</v>
      </c>
      <c r="W42" s="34"/>
      <c r="X42" s="34">
        <f>(N42+W42)/I42</f>
        <v>1720</v>
      </c>
      <c r="Y42" s="45">
        <f t="shared" si="7"/>
        <v>45672</v>
      </c>
    </row>
    <row r="43" ht="13.8" spans="1:25">
      <c r="A43" s="12">
        <v>38</v>
      </c>
      <c r="B43" s="42">
        <v>45652</v>
      </c>
      <c r="C43" s="12">
        <v>12</v>
      </c>
      <c r="D43" s="142" t="str">
        <f>+VLOOKUP(C43,'Party Master'!$A$2:$B$273,2,FALSE)</f>
        <v>QWE Instruments &amp; Transformers Pvt. Ltd.</v>
      </c>
      <c r="E43" s="12">
        <v>1018</v>
      </c>
      <c r="F43" s="41">
        <v>45652</v>
      </c>
      <c r="G43" s="42" t="s">
        <v>268</v>
      </c>
      <c r="H43" s="143" t="str">
        <f>VLOOKUP(G43,'Stock Statement'!$A$2:$B$149,2,FALSE)</f>
        <v>PIDISEAL SL 4001</v>
      </c>
      <c r="I43" s="13">
        <v>20</v>
      </c>
      <c r="J43" s="12" t="str">
        <f>VLOOKUP(G43,'Stock Statement'!$A$3:$I$149,9,FALSE)</f>
        <v>NOS</v>
      </c>
      <c r="K43" s="30">
        <v>350</v>
      </c>
      <c r="L43" s="30">
        <f t="shared" si="0"/>
        <v>7000</v>
      </c>
      <c r="M43" s="30"/>
      <c r="N43" s="30">
        <f t="shared" si="1"/>
        <v>7000</v>
      </c>
      <c r="O43" s="30">
        <f>VLOOKUP(C43,'Party Master'!$A$2:$I$273,9,FALSE)*N43</f>
        <v>630</v>
      </c>
      <c r="P43" s="30">
        <f>VLOOKUP(C43,'Party Master'!$A$2:$J$273,10,FALSE)*N43</f>
        <v>630</v>
      </c>
      <c r="Q43" s="30">
        <f>+VLOOKUP(C43,'Party Master'!$A$2:$K$273,11,FALSE)*N43</f>
        <v>0</v>
      </c>
      <c r="R43" s="30"/>
      <c r="S43" s="30">
        <f t="shared" si="2"/>
        <v>8260</v>
      </c>
      <c r="T43" s="30">
        <v>8260</v>
      </c>
      <c r="U43" s="13" t="s">
        <v>479</v>
      </c>
      <c r="V43" s="30">
        <f t="shared" si="3"/>
        <v>0</v>
      </c>
      <c r="W43" s="30">
        <v>500</v>
      </c>
      <c r="X43" s="30">
        <f>(N43+W43)/I43</f>
        <v>375</v>
      </c>
      <c r="Y43" s="41" t="str">
        <f t="shared" si="7"/>
        <v>Complete</v>
      </c>
    </row>
    <row r="44" ht="13.8" spans="1:25">
      <c r="A44" s="18">
        <v>39</v>
      </c>
      <c r="B44" s="46">
        <v>45293</v>
      </c>
      <c r="C44" s="18">
        <v>4</v>
      </c>
      <c r="D44" s="148" t="str">
        <f>+VLOOKUP(C44,'Party Master'!$A$2:$B$273,2,FALSE)</f>
        <v>LMN Precision tools limited</v>
      </c>
      <c r="E44" s="18" t="s">
        <v>480</v>
      </c>
      <c r="F44" s="45">
        <v>45651</v>
      </c>
      <c r="G44" s="46" t="s">
        <v>158</v>
      </c>
      <c r="H44" s="149" t="str">
        <f>VLOOKUP(G44,'Stock Statement'!$A$2:$B$149,2,FALSE)</f>
        <v>CRAPE PAPER BROWN 4mil 1 Inch</v>
      </c>
      <c r="I44" s="19">
        <v>29</v>
      </c>
      <c r="J44" s="18" t="str">
        <f>VLOOKUP(G44,'Stock Statement'!$A$3:$I$149,9,FALSE)</f>
        <v>KGS</v>
      </c>
      <c r="K44" s="34">
        <v>200</v>
      </c>
      <c r="L44" s="34">
        <f t="shared" si="0"/>
        <v>5800</v>
      </c>
      <c r="M44" s="34"/>
      <c r="N44" s="34">
        <f t="shared" si="1"/>
        <v>5800</v>
      </c>
      <c r="O44" s="34">
        <f>VLOOKUP(C44,'Party Master'!$A$2:$I$273,9,FALSE)*N44</f>
        <v>145</v>
      </c>
      <c r="P44" s="34">
        <f>VLOOKUP(C44,'Party Master'!$A$2:$J$273,10,FALSE)*N44</f>
        <v>145</v>
      </c>
      <c r="Q44" s="34">
        <f>+VLOOKUP(C44,'Party Master'!$A$2:$K$273,11,FALSE)*N44</f>
        <v>0</v>
      </c>
      <c r="R44" s="34"/>
      <c r="S44" s="34">
        <f t="shared" si="2"/>
        <v>6090</v>
      </c>
      <c r="T44" s="34"/>
      <c r="U44" s="19"/>
      <c r="V44" s="34">
        <f t="shared" si="3"/>
        <v>6090</v>
      </c>
      <c r="W44" s="34">
        <v>400</v>
      </c>
      <c r="X44" s="34">
        <f>(N44+W44)/I44</f>
        <v>213.793103448276</v>
      </c>
      <c r="Y44" s="45">
        <f t="shared" si="7"/>
        <v>45681</v>
      </c>
    </row>
    <row r="45" ht="13.8" spans="1:25">
      <c r="A45" s="18">
        <v>42</v>
      </c>
      <c r="B45" s="46">
        <v>45300</v>
      </c>
      <c r="C45" s="18">
        <v>1</v>
      </c>
      <c r="D45" s="148" t="str">
        <f>+VLOOKUP(C45,'Party Master'!$A$2:$B$273,2,FALSE)</f>
        <v>XYZ Harness Technologies
</v>
      </c>
      <c r="E45" s="18">
        <v>1521</v>
      </c>
      <c r="F45" s="45">
        <v>45297</v>
      </c>
      <c r="G45" s="46" t="s">
        <v>252</v>
      </c>
      <c r="H45" s="149" t="str">
        <f>VLOOKUP(G45,'Stock Statement'!$A$2:$B$149,2,FALSE)</f>
        <v>HST Black 7.9mm with Adhessive</v>
      </c>
      <c r="I45" s="19">
        <v>500</v>
      </c>
      <c r="J45" s="18" t="str">
        <f>VLOOKUP(G45,'Stock Statement'!$A$3:$I$149,9,FALSE)</f>
        <v>MTRS</v>
      </c>
      <c r="K45" s="34">
        <v>23</v>
      </c>
      <c r="L45" s="34">
        <f t="shared" si="0"/>
        <v>11500</v>
      </c>
      <c r="M45" s="34"/>
      <c r="N45" s="34">
        <f t="shared" si="1"/>
        <v>11500</v>
      </c>
      <c r="O45" s="34">
        <f>VLOOKUP(C45,'Party Master'!$A$2:$I$273,9,FALSE)*N45</f>
        <v>1035</v>
      </c>
      <c r="P45" s="34">
        <f>VLOOKUP(C45,'Party Master'!$A$2:$J$273,10,FALSE)*N45</f>
        <v>1035</v>
      </c>
      <c r="Q45" s="34">
        <f>+VLOOKUP(C45,'Party Master'!$A$2:$K$273,11,FALSE)*N45</f>
        <v>0</v>
      </c>
      <c r="R45" s="34"/>
      <c r="S45" s="34">
        <f t="shared" si="2"/>
        <v>13570</v>
      </c>
      <c r="T45" s="34"/>
      <c r="U45" s="19"/>
      <c r="V45" s="34">
        <f t="shared" si="3"/>
        <v>13570</v>
      </c>
      <c r="W45" s="34"/>
      <c r="X45" s="34">
        <f>(N45+W45)/I45</f>
        <v>23</v>
      </c>
      <c r="Y45" s="45">
        <f t="shared" si="7"/>
        <v>45327</v>
      </c>
    </row>
  </sheetData>
  <autoFilter xmlns:etc="http://www.wps.cn/officeDocument/2017/etCustomData" ref="A6:Y45" etc:filterBottomFollowUsedRange="0">
    <extLst/>
  </autoFilter>
  <mergeCells count="1">
    <mergeCell ref="A2:X4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FF0000"/>
  </sheetPr>
  <dimension ref="A1:N52"/>
  <sheetViews>
    <sheetView tabSelected="1" workbookViewId="0">
      <selection activeCell="D5" sqref="D5:I5"/>
    </sheetView>
  </sheetViews>
  <sheetFormatPr defaultColWidth="9" defaultRowHeight="13.8"/>
  <cols>
    <col min="1" max="1" width="2.71296296296296" style="58" customWidth="1"/>
    <col min="2" max="2" width="8.85185185185185" style="58" customWidth="1"/>
    <col min="3" max="3" width="9" style="58" customWidth="1"/>
    <col min="4" max="4" width="26.8518518518519" style="58" customWidth="1"/>
    <col min="5" max="5" width="10.1388888888889" style="58" customWidth="1"/>
    <col min="6" max="6" width="7.57407407407407" style="58" customWidth="1"/>
    <col min="7" max="7" width="9.13888888888889" style="58" customWidth="1"/>
    <col min="8" max="8" width="10.287037037037" style="58" customWidth="1"/>
    <col min="9" max="9" width="11.5740740740741" style="58" customWidth="1"/>
    <col min="10" max="10" width="11.287037037037" style="58" customWidth="1"/>
    <col min="11" max="12" width="10.1388888888889" style="58" customWidth="1"/>
    <col min="13" max="16384" width="9.13888888888889" style="58" customWidth="1"/>
  </cols>
  <sheetData>
    <row r="1" spans="1:9">
      <c r="A1" s="59"/>
      <c r="B1" s="60"/>
      <c r="C1" s="60"/>
      <c r="D1" s="61" t="s">
        <v>481</v>
      </c>
      <c r="E1" s="62"/>
      <c r="F1" s="62"/>
      <c r="G1" s="62"/>
      <c r="H1" s="62"/>
      <c r="I1" s="77"/>
    </row>
    <row r="2" spans="1:9">
      <c r="A2" s="63"/>
      <c r="D2" s="64"/>
      <c r="E2" s="64"/>
      <c r="F2" s="64"/>
      <c r="G2" s="64"/>
      <c r="H2" s="64"/>
      <c r="I2" s="127"/>
    </row>
    <row r="3" ht="27" customHeight="1" spans="1:9">
      <c r="A3" s="63"/>
      <c r="B3" s="65"/>
      <c r="C3" s="65"/>
      <c r="D3" s="66" t="s">
        <v>391</v>
      </c>
      <c r="I3" s="85"/>
    </row>
    <row r="4" ht="15.75" customHeight="1" spans="1:9">
      <c r="A4" s="63"/>
      <c r="D4" s="67" t="s">
        <v>392</v>
      </c>
      <c r="I4" s="85"/>
    </row>
    <row r="5" ht="19.5" customHeight="1" spans="1:9">
      <c r="A5" s="63"/>
      <c r="B5" s="68"/>
      <c r="C5" s="68"/>
      <c r="D5" s="67" t="s">
        <v>482</v>
      </c>
      <c r="I5" s="85"/>
    </row>
    <row r="6" ht="17.25" customHeight="1" spans="1:9">
      <c r="A6" s="63"/>
      <c r="D6" s="69" t="s">
        <v>483</v>
      </c>
      <c r="I6" s="85"/>
    </row>
    <row r="7" ht="14.25" customHeight="1" spans="1:9">
      <c r="A7" s="63"/>
      <c r="D7" s="69" t="s">
        <v>33</v>
      </c>
      <c r="I7" s="85"/>
    </row>
    <row r="8" ht="19.5" customHeight="1" spans="1:9">
      <c r="A8" s="70"/>
      <c r="B8" s="71"/>
      <c r="C8" s="71"/>
      <c r="D8" s="72"/>
      <c r="E8" s="73"/>
      <c r="F8" s="73"/>
      <c r="G8" s="73"/>
      <c r="H8" s="73"/>
      <c r="I8" s="88"/>
    </row>
    <row r="9" ht="27" customHeight="1" spans="1:9">
      <c r="A9" s="74" t="s">
        <v>484</v>
      </c>
      <c r="B9" s="75"/>
      <c r="C9" s="75"/>
      <c r="D9" s="75"/>
      <c r="E9" s="75"/>
      <c r="F9" s="75"/>
      <c r="G9" s="75"/>
      <c r="H9" s="75"/>
      <c r="I9" s="80"/>
    </row>
    <row r="10" ht="15.75" customHeight="1" spans="1:9">
      <c r="A10" s="76" t="s">
        <v>485</v>
      </c>
      <c r="B10" s="62"/>
      <c r="C10" s="62"/>
      <c r="D10" s="77"/>
      <c r="E10" s="78"/>
      <c r="F10" s="79" t="s">
        <v>486</v>
      </c>
      <c r="G10" s="80"/>
      <c r="H10" s="81">
        <v>12</v>
      </c>
      <c r="I10" s="128"/>
    </row>
    <row r="11" ht="14.25" customHeight="1" spans="1:9">
      <c r="A11" s="82" t="s">
        <v>108</v>
      </c>
      <c r="B11" s="62"/>
      <c r="C11" s="62"/>
      <c r="D11" s="77"/>
      <c r="E11" s="83" t="s">
        <v>487</v>
      </c>
      <c r="F11" s="9" t="s">
        <v>488</v>
      </c>
      <c r="G11" s="77"/>
      <c r="H11" s="83" t="s">
        <v>434</v>
      </c>
      <c r="I11" s="79">
        <v>45305</v>
      </c>
    </row>
    <row r="12" ht="14.25" customHeight="1" spans="1:9">
      <c r="A12" s="84" t="str">
        <f>VLOOKUP(H10,'Party Master'!A2:C229,3,FALSE)</f>
        <v>Aurangabad-431001</v>
      </c>
      <c r="D12" s="85"/>
      <c r="E12" s="86"/>
      <c r="F12" s="87"/>
      <c r="G12" s="88"/>
      <c r="H12" s="86"/>
      <c r="I12" s="86"/>
    </row>
    <row r="13" spans="1:9">
      <c r="A13" s="7"/>
      <c r="D13" s="85"/>
      <c r="E13" s="89" t="s">
        <v>489</v>
      </c>
      <c r="F13" s="90"/>
      <c r="G13" s="77"/>
      <c r="H13" s="81" t="s">
        <v>400</v>
      </c>
      <c r="I13" s="79">
        <v>45305</v>
      </c>
    </row>
    <row r="14" spans="1:9">
      <c r="A14" s="87"/>
      <c r="B14" s="73"/>
      <c r="C14" s="73"/>
      <c r="D14" s="88"/>
      <c r="E14" s="88"/>
      <c r="F14" s="87"/>
      <c r="G14" s="88"/>
      <c r="H14" s="86"/>
      <c r="I14" s="86"/>
    </row>
    <row r="15" spans="1:9">
      <c r="A15" s="91" t="s">
        <v>490</v>
      </c>
      <c r="B15" s="88"/>
      <c r="C15" s="84" t="str">
        <f>VLOOKUP(H10,'Party Master'!A2:F229,6,FALSE)</f>
        <v>27AAKCP441XXXXX</v>
      </c>
      <c r="D15" s="88"/>
      <c r="E15" s="81" t="s">
        <v>491</v>
      </c>
      <c r="F15" s="79" t="str">
        <f>VLOOKUP(H10,'Party Master'!A2:H229,8,FALSE)</f>
        <v>Maharashtra</v>
      </c>
      <c r="G15" s="80"/>
      <c r="H15" s="81" t="s">
        <v>492</v>
      </c>
      <c r="I15" s="81">
        <f>VLOOKUP(H10,'Party Master'!A2:G229,7,FALSE)</f>
        <v>27</v>
      </c>
    </row>
    <row r="16" spans="1:9">
      <c r="A16" s="92" t="s">
        <v>493</v>
      </c>
      <c r="B16" s="62"/>
      <c r="C16" s="62"/>
      <c r="D16" s="77"/>
      <c r="E16" s="93" t="s">
        <v>494</v>
      </c>
      <c r="F16" s="75"/>
      <c r="G16" s="75"/>
      <c r="H16" s="75"/>
      <c r="I16" s="80"/>
    </row>
    <row r="17" spans="1:9">
      <c r="A17" s="82" t="str">
        <f>A11</f>
        <v>ABD Engineering Works</v>
      </c>
      <c r="B17" s="62"/>
      <c r="C17" s="62"/>
      <c r="D17" s="77"/>
      <c r="E17" s="89" t="s">
        <v>495</v>
      </c>
      <c r="F17" s="83" t="str">
        <f>VLOOKUP(H10,'Party Master'!A2:L229,12)</f>
        <v>30 Days</v>
      </c>
      <c r="G17" s="77"/>
      <c r="H17" s="89" t="s">
        <v>12</v>
      </c>
      <c r="I17" s="129" t="s">
        <v>496</v>
      </c>
    </row>
    <row r="18" spans="1:9">
      <c r="A18" s="84" t="str">
        <f>A12</f>
        <v>Aurangabad-431001</v>
      </c>
      <c r="D18" s="85"/>
      <c r="E18" s="88"/>
      <c r="F18" s="87"/>
      <c r="G18" s="88"/>
      <c r="H18" s="88"/>
      <c r="I18" s="86"/>
    </row>
    <row r="19" ht="14.25" customHeight="1" spans="1:9">
      <c r="A19" s="7"/>
      <c r="D19" s="85"/>
      <c r="E19" s="94" t="s">
        <v>497</v>
      </c>
      <c r="F19" s="95" t="s">
        <v>498</v>
      </c>
      <c r="G19" s="77"/>
      <c r="H19" s="90" t="s">
        <v>499</v>
      </c>
      <c r="I19" s="90" t="s">
        <v>500</v>
      </c>
    </row>
    <row r="20" spans="1:9">
      <c r="A20" s="87"/>
      <c r="B20" s="73"/>
      <c r="C20" s="73"/>
      <c r="D20" s="88"/>
      <c r="E20" s="88"/>
      <c r="F20" s="87"/>
      <c r="G20" s="88"/>
      <c r="H20" s="86"/>
      <c r="I20" s="86"/>
    </row>
    <row r="21" spans="1:9">
      <c r="A21" s="91" t="s">
        <v>490</v>
      </c>
      <c r="B21" s="88"/>
      <c r="C21" s="84" t="str">
        <f>C15</f>
        <v>27AAKCP441XXXXX</v>
      </c>
      <c r="D21" s="88"/>
      <c r="E21" s="81" t="s">
        <v>491</v>
      </c>
      <c r="F21" s="79" t="str">
        <f>F15</f>
        <v>Maharashtra</v>
      </c>
      <c r="G21" s="80"/>
      <c r="H21" s="81" t="s">
        <v>492</v>
      </c>
      <c r="I21" s="81">
        <f>I15</f>
        <v>27</v>
      </c>
    </row>
    <row r="22" spans="1:9">
      <c r="A22" s="96"/>
      <c r="B22" s="75"/>
      <c r="C22" s="75"/>
      <c r="D22" s="80"/>
      <c r="E22" s="81"/>
      <c r="F22" s="75"/>
      <c r="G22" s="75"/>
      <c r="H22" s="75"/>
      <c r="I22" s="80"/>
    </row>
    <row r="23" spans="1:9">
      <c r="A23" s="92" t="s">
        <v>412</v>
      </c>
      <c r="B23" s="77"/>
      <c r="C23" s="97" t="s">
        <v>413</v>
      </c>
      <c r="D23" s="77"/>
      <c r="E23" s="76" t="s">
        <v>414</v>
      </c>
      <c r="F23" s="76" t="s">
        <v>415</v>
      </c>
      <c r="G23" s="76" t="s">
        <v>416</v>
      </c>
      <c r="H23" s="76" t="s">
        <v>128</v>
      </c>
      <c r="I23" s="76" t="s">
        <v>417</v>
      </c>
    </row>
    <row r="24" spans="1:13">
      <c r="A24" s="98" t="s">
        <v>163</v>
      </c>
      <c r="B24" s="77"/>
      <c r="C24" s="99" t="str">
        <f>VLOOKUP(A24,'Stock Statement'!A3:B161,2,FALSE)</f>
        <v>Double Sided Foam Tape 20mmX5M</v>
      </c>
      <c r="D24" s="77"/>
      <c r="E24" s="76">
        <f>VLOOKUP(A24,'Stock Statement'!A3:C161,3,FALSE)</f>
        <v>48114100</v>
      </c>
      <c r="F24" s="76">
        <v>270</v>
      </c>
      <c r="G24" s="100" t="str">
        <f>+VLOOKUP(A24,'Stock Statement'!A3:I161,9,FALSE)</f>
        <v>NOS</v>
      </c>
      <c r="H24" s="100">
        <v>16</v>
      </c>
      <c r="I24" s="100">
        <f>F24*H24</f>
        <v>4320</v>
      </c>
      <c r="J24" s="130"/>
      <c r="L24" s="131"/>
      <c r="M24" s="131"/>
    </row>
    <row r="25" spans="1:13">
      <c r="A25" s="101" t="s">
        <v>332</v>
      </c>
      <c r="B25" s="102"/>
      <c r="C25" s="101" t="str">
        <f>VLOOKUP(A25,'Stock Statement'!A4:B162,2,FALSE)</f>
        <v>Solder Wire </v>
      </c>
      <c r="D25" s="102"/>
      <c r="E25" s="103">
        <f>VLOOKUP(A25,'Stock Statement'!A4:C162,3,FALSE)</f>
        <v>83119000</v>
      </c>
      <c r="F25" s="103">
        <v>2</v>
      </c>
      <c r="G25" s="104" t="str">
        <f>+VLOOKUP(A25,'Stock Statement'!A4:I162,9,FALSE)</f>
        <v>KGS</v>
      </c>
      <c r="H25" s="104">
        <v>2000</v>
      </c>
      <c r="I25" s="104">
        <f>F25*H25</f>
        <v>4000</v>
      </c>
      <c r="K25" s="130"/>
      <c r="M25" s="132"/>
    </row>
    <row r="26" ht="14.25" customHeight="1" spans="1:14">
      <c r="A26" s="101" t="s">
        <v>321</v>
      </c>
      <c r="B26" s="102"/>
      <c r="C26" s="101" t="str">
        <f>VLOOKUP(A26,'Stock Statement'!A5:B163,2,FALSE)</f>
        <v>Solder Flux NC400</v>
      </c>
      <c r="D26" s="102"/>
      <c r="E26" s="103">
        <f>VLOOKUP(A26,'Stock Statement'!A5:C163,3,FALSE)</f>
        <v>38109090</v>
      </c>
      <c r="F26" s="103">
        <v>5</v>
      </c>
      <c r="G26" s="104" t="str">
        <f>+VLOOKUP(A26,'Stock Statement'!A5:I163,9,FALSE)</f>
        <v>Ltrs</v>
      </c>
      <c r="H26" s="104">
        <v>340</v>
      </c>
      <c r="I26" s="104">
        <f>F26*H26</f>
        <v>1700</v>
      </c>
      <c r="K26" s="130"/>
      <c r="L26" s="131"/>
      <c r="M26" s="132"/>
      <c r="N26" s="132"/>
    </row>
    <row r="27" spans="1:11">
      <c r="A27" s="101" t="s">
        <v>324</v>
      </c>
      <c r="B27" s="102"/>
      <c r="C27" s="101" t="str">
        <f>VLOOKUP(A27,'Stock Statement'!A6:B164,2,FALSE)</f>
        <v>Indrayani Industrial Suppliers</v>
      </c>
      <c r="D27" s="102"/>
      <c r="E27" s="103">
        <f>VLOOKUP(A27,'Stock Statement'!A6:C164,3,FALSE)</f>
        <v>38109090</v>
      </c>
      <c r="F27" s="103">
        <v>5</v>
      </c>
      <c r="G27" s="104" t="str">
        <f>+VLOOKUP(A27,'Stock Statement'!A6:I164,9,FALSE)</f>
        <v>Ltrs</v>
      </c>
      <c r="H27" s="104">
        <v>250</v>
      </c>
      <c r="I27" s="104">
        <f>F27*H27</f>
        <v>1250</v>
      </c>
      <c r="K27" s="130"/>
    </row>
    <row r="28" spans="1:11">
      <c r="A28" s="105"/>
      <c r="B28" s="85"/>
      <c r="C28" s="105"/>
      <c r="D28" s="85"/>
      <c r="E28" s="103"/>
      <c r="F28" s="103"/>
      <c r="G28" s="104"/>
      <c r="H28" s="104"/>
      <c r="I28" s="104"/>
      <c r="K28" s="130"/>
    </row>
    <row r="29" spans="1:11">
      <c r="A29" s="103"/>
      <c r="B29" s="85"/>
      <c r="C29" s="106"/>
      <c r="D29" s="85"/>
      <c r="E29" s="103"/>
      <c r="F29" s="103"/>
      <c r="G29" s="104"/>
      <c r="H29" s="104"/>
      <c r="I29" s="104"/>
      <c r="K29" s="130"/>
    </row>
    <row r="30" spans="1:11">
      <c r="A30" s="103"/>
      <c r="B30" s="85"/>
      <c r="C30" s="106"/>
      <c r="D30" s="85"/>
      <c r="E30" s="107"/>
      <c r="F30" s="103"/>
      <c r="G30" s="104"/>
      <c r="H30" s="104"/>
      <c r="I30" s="133"/>
      <c r="K30" s="130"/>
    </row>
    <row r="31" spans="1:9">
      <c r="A31" s="103"/>
      <c r="B31" s="85"/>
      <c r="C31" s="105"/>
      <c r="D31" s="85"/>
      <c r="E31" s="107"/>
      <c r="F31" s="103"/>
      <c r="G31" s="103"/>
      <c r="H31" s="108"/>
      <c r="I31" s="133"/>
    </row>
    <row r="32" spans="1:9">
      <c r="A32" s="103"/>
      <c r="B32" s="85"/>
      <c r="C32" s="105"/>
      <c r="D32" s="85"/>
      <c r="E32" s="107"/>
      <c r="F32" s="103"/>
      <c r="G32" s="103"/>
      <c r="H32" s="108"/>
      <c r="I32" s="133"/>
    </row>
    <row r="33" spans="1:9">
      <c r="A33" s="109"/>
      <c r="B33" s="88"/>
      <c r="C33" s="105"/>
      <c r="D33" s="85"/>
      <c r="E33" s="110"/>
      <c r="F33" s="110"/>
      <c r="G33" s="109"/>
      <c r="H33" s="111"/>
      <c r="I33" s="134"/>
    </row>
    <row r="34" ht="14.25" customHeight="1" spans="1:11">
      <c r="A34" s="90" t="s">
        <v>501</v>
      </c>
      <c r="B34" s="77"/>
      <c r="C34" s="112" t="s">
        <v>502</v>
      </c>
      <c r="D34" s="62"/>
      <c r="E34" s="62"/>
      <c r="F34" s="77"/>
      <c r="G34" s="113" t="s">
        <v>503</v>
      </c>
      <c r="H34" s="85"/>
      <c r="I34" s="135">
        <f>SUM(I24:I33)</f>
        <v>11270</v>
      </c>
      <c r="J34" s="136"/>
      <c r="K34" s="130"/>
    </row>
    <row r="35" spans="1:9">
      <c r="A35" s="87"/>
      <c r="B35" s="88"/>
      <c r="C35" s="87"/>
      <c r="D35" s="73"/>
      <c r="E35" s="73"/>
      <c r="F35" s="88"/>
      <c r="G35" s="114" t="s">
        <v>4</v>
      </c>
      <c r="H35" s="115">
        <f>VLOOKUP(H10,'Party Master'!A2:N229,9,FALSE)</f>
        <v>0.09</v>
      </c>
      <c r="I35" s="135">
        <f>$I$34*$H$35</f>
        <v>1014.3</v>
      </c>
    </row>
    <row r="36" spans="1:11">
      <c r="A36" s="76"/>
      <c r="B36" s="62"/>
      <c r="C36" s="62"/>
      <c r="D36" s="62"/>
      <c r="E36" s="62"/>
      <c r="F36" s="77"/>
      <c r="G36" s="114" t="s">
        <v>5</v>
      </c>
      <c r="H36" s="115">
        <f>VLOOKUP(H10,'Party Master'!A2:K229,10,FALSE)</f>
        <v>0.09</v>
      </c>
      <c r="I36" s="135">
        <f>$I$34*$H$36</f>
        <v>1014.3</v>
      </c>
      <c r="J36" s="130"/>
      <c r="K36" s="130"/>
    </row>
    <row r="37" spans="1:10">
      <c r="A37" s="76"/>
      <c r="B37" s="62"/>
      <c r="C37" s="62"/>
      <c r="D37" s="62"/>
      <c r="E37" s="62"/>
      <c r="F37" s="77"/>
      <c r="G37" s="114" t="s">
        <v>6</v>
      </c>
      <c r="H37" s="116">
        <f>VLOOKUP(H10,'Party Master'!A2:K229,11,FALSE)</f>
        <v>0</v>
      </c>
      <c r="I37" s="137">
        <f>$I$34*$H$37</f>
        <v>0</v>
      </c>
      <c r="J37" s="130"/>
    </row>
    <row r="38" spans="1:10">
      <c r="A38" s="117" t="s">
        <v>504</v>
      </c>
      <c r="F38" s="85"/>
      <c r="G38" s="89" t="s">
        <v>505</v>
      </c>
      <c r="H38" s="80"/>
      <c r="I38" s="138">
        <f>SUM(I35:I37)</f>
        <v>2028.6</v>
      </c>
      <c r="J38" s="130"/>
    </row>
    <row r="39" spans="1:9">
      <c r="A39" s="7"/>
      <c r="F39" s="85"/>
      <c r="G39" s="81" t="s">
        <v>506</v>
      </c>
      <c r="H39" s="80"/>
      <c r="I39" s="137">
        <v>0.4</v>
      </c>
    </row>
    <row r="40" spans="1:11">
      <c r="A40" s="118"/>
      <c r="B40" s="73"/>
      <c r="C40" s="73"/>
      <c r="D40" s="73"/>
      <c r="E40" s="73"/>
      <c r="F40" s="88"/>
      <c r="G40" s="89" t="s">
        <v>507</v>
      </c>
      <c r="H40" s="80"/>
      <c r="I40" s="137">
        <f>SUM(I34+I38+I39)</f>
        <v>13299</v>
      </c>
      <c r="J40" s="131"/>
      <c r="K40" s="130"/>
    </row>
    <row r="41" spans="1:9">
      <c r="A41" s="118" t="s">
        <v>508</v>
      </c>
      <c r="I41" s="85"/>
    </row>
    <row r="42" spans="1:11">
      <c r="A42" s="87"/>
      <c r="B42" s="73"/>
      <c r="C42" s="73"/>
      <c r="D42" s="73"/>
      <c r="E42" s="73"/>
      <c r="F42" s="73"/>
      <c r="G42" s="73"/>
      <c r="H42" s="73"/>
      <c r="I42" s="88"/>
      <c r="K42" s="130"/>
    </row>
    <row r="43" spans="1:9">
      <c r="A43" s="119" t="s">
        <v>33</v>
      </c>
      <c r="B43" s="62"/>
      <c r="C43" s="62"/>
      <c r="D43" s="62"/>
      <c r="E43" s="62"/>
      <c r="F43" s="62"/>
      <c r="G43" s="62"/>
      <c r="H43" s="62"/>
      <c r="I43" s="77"/>
    </row>
    <row r="44" spans="1:9">
      <c r="A44" s="120" t="s">
        <v>33</v>
      </c>
      <c r="D44" s="5" t="s">
        <v>33</v>
      </c>
      <c r="E44" s="2" t="s">
        <v>509</v>
      </c>
      <c r="F44" s="121" t="s">
        <v>510</v>
      </c>
      <c r="I44" s="85"/>
    </row>
    <row r="45" spans="1:9">
      <c r="A45" s="120" t="s">
        <v>33</v>
      </c>
      <c r="D45" s="5" t="s">
        <v>511</v>
      </c>
      <c r="E45" s="2" t="s">
        <v>33</v>
      </c>
      <c r="F45" s="121" t="s">
        <v>512</v>
      </c>
      <c r="I45" s="85"/>
    </row>
    <row r="46" spans="1:9">
      <c r="A46" s="122"/>
      <c r="B46" s="73"/>
      <c r="C46" s="73"/>
      <c r="D46" s="73"/>
      <c r="E46" s="73"/>
      <c r="F46" s="73"/>
      <c r="G46" s="73"/>
      <c r="H46" s="73"/>
      <c r="I46" s="88"/>
    </row>
    <row r="47" spans="1:9">
      <c r="A47" s="112" t="s">
        <v>513</v>
      </c>
      <c r="B47" s="62"/>
      <c r="C47" s="62"/>
      <c r="D47" s="77"/>
      <c r="E47" s="123" t="s">
        <v>391</v>
      </c>
      <c r="F47" s="62"/>
      <c r="G47" s="62"/>
      <c r="H47" s="62"/>
      <c r="I47" s="77"/>
    </row>
    <row r="48" spans="1:9">
      <c r="A48" s="7"/>
      <c r="D48" s="85"/>
      <c r="E48" s="124"/>
      <c r="I48" s="85"/>
    </row>
    <row r="49" spans="1:9">
      <c r="A49" s="7"/>
      <c r="D49" s="85"/>
      <c r="E49" s="124"/>
      <c r="I49" s="85"/>
    </row>
    <row r="50" spans="1:9">
      <c r="A50" s="7"/>
      <c r="D50" s="85"/>
      <c r="E50" s="124"/>
      <c r="I50" s="85"/>
    </row>
    <row r="51" ht="15.75" customHeight="1" spans="1:9">
      <c r="A51" s="7"/>
      <c r="D51" s="85"/>
      <c r="E51" s="125"/>
      <c r="I51" s="85"/>
    </row>
    <row r="52" spans="1:9">
      <c r="A52" s="87"/>
      <c r="B52" s="73"/>
      <c r="C52" s="73"/>
      <c r="D52" s="88"/>
      <c r="E52" s="126" t="s">
        <v>427</v>
      </c>
      <c r="F52" s="73"/>
      <c r="G52" s="73"/>
      <c r="H52" s="73"/>
      <c r="I52" s="88"/>
    </row>
  </sheetData>
  <mergeCells count="80">
    <mergeCell ref="D1:I1"/>
    <mergeCell ref="D3:I3"/>
    <mergeCell ref="D4:I4"/>
    <mergeCell ref="D5:I5"/>
    <mergeCell ref="D6:I6"/>
    <mergeCell ref="D7:I7"/>
    <mergeCell ref="D8:I8"/>
    <mergeCell ref="A9:I9"/>
    <mergeCell ref="A10:D10"/>
    <mergeCell ref="F10:G10"/>
    <mergeCell ref="A11:D11"/>
    <mergeCell ref="A15:B15"/>
    <mergeCell ref="C15:D15"/>
    <mergeCell ref="F15:G15"/>
    <mergeCell ref="A16:D16"/>
    <mergeCell ref="E16:I16"/>
    <mergeCell ref="A17:D17"/>
    <mergeCell ref="A21:B21"/>
    <mergeCell ref="C21:D21"/>
    <mergeCell ref="F21:G21"/>
    <mergeCell ref="A22:D22"/>
    <mergeCell ref="E22:I22"/>
    <mergeCell ref="A23:B23"/>
    <mergeCell ref="C23:D23"/>
    <mergeCell ref="A24:B24"/>
    <mergeCell ref="C24:D24"/>
    <mergeCell ref="A28:B28"/>
    <mergeCell ref="C28:D28"/>
    <mergeCell ref="A29:B29"/>
    <mergeCell ref="C29:D29"/>
    <mergeCell ref="A30:B30"/>
    <mergeCell ref="C30:D30"/>
    <mergeCell ref="A31:B31"/>
    <mergeCell ref="C31:D31"/>
    <mergeCell ref="A32:B32"/>
    <mergeCell ref="C32:D32"/>
    <mergeCell ref="A33:B33"/>
    <mergeCell ref="C33:D33"/>
    <mergeCell ref="G34:H34"/>
    <mergeCell ref="A36:F36"/>
    <mergeCell ref="A37:F37"/>
    <mergeCell ref="G38:H38"/>
    <mergeCell ref="G39:H39"/>
    <mergeCell ref="A40:F40"/>
    <mergeCell ref="G40:H40"/>
    <mergeCell ref="A43:I43"/>
    <mergeCell ref="A44:C44"/>
    <mergeCell ref="F44:I44"/>
    <mergeCell ref="A45:C45"/>
    <mergeCell ref="F45:I45"/>
    <mergeCell ref="A46:I46"/>
    <mergeCell ref="E47:I47"/>
    <mergeCell ref="E48:I48"/>
    <mergeCell ref="E49:I49"/>
    <mergeCell ref="E50:I50"/>
    <mergeCell ref="E51:I51"/>
    <mergeCell ref="E52:I52"/>
    <mergeCell ref="E11:E12"/>
    <mergeCell ref="E13:E14"/>
    <mergeCell ref="E17:E18"/>
    <mergeCell ref="E19:E20"/>
    <mergeCell ref="H11:H12"/>
    <mergeCell ref="H13:H14"/>
    <mergeCell ref="H17:H18"/>
    <mergeCell ref="H19:H20"/>
    <mergeCell ref="I11:I12"/>
    <mergeCell ref="I13:I14"/>
    <mergeCell ref="I17:I18"/>
    <mergeCell ref="I19:I20"/>
    <mergeCell ref="C34:F35"/>
    <mergeCell ref="A18:D20"/>
    <mergeCell ref="F13:G14"/>
    <mergeCell ref="F11:G12"/>
    <mergeCell ref="A12:D14"/>
    <mergeCell ref="F17:G18"/>
    <mergeCell ref="F19:G20"/>
    <mergeCell ref="A38:F39"/>
    <mergeCell ref="A34:B35"/>
    <mergeCell ref="A41:I42"/>
    <mergeCell ref="A47:D52"/>
  </mergeCells>
  <pageMargins left="0.590551181102362" right="0.196850393700787" top="0.196850393700787" bottom="0.590551181102362" header="0.196850393700787" footer="0.196850393700787"/>
  <pageSetup paperSize="9" scale="9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2:Y79"/>
  <sheetViews>
    <sheetView workbookViewId="0">
      <pane xSplit="5" ySplit="6" topLeftCell="F32" activePane="bottomRight" state="frozen"/>
      <selection/>
      <selection pane="topRight"/>
      <selection pane="bottomLeft"/>
      <selection pane="bottomRight" activeCell="A2" sqref="A2:X4"/>
    </sheetView>
  </sheetViews>
  <sheetFormatPr defaultColWidth="9" defaultRowHeight="13.2"/>
  <cols>
    <col min="1" max="1" width="9.42592592592593" style="5" customWidth="1"/>
    <col min="2" max="2" width="15" style="5" customWidth="1"/>
    <col min="3" max="3" width="12" style="5" customWidth="1"/>
    <col min="4" max="4" width="9.85185185185185" style="5" customWidth="1"/>
    <col min="5" max="5" width="45.5740740740741" style="5" customWidth="1"/>
    <col min="6" max="6" width="10.4259259259259" style="5" customWidth="1"/>
    <col min="7" max="7" width="37" style="5" customWidth="1"/>
    <col min="8" max="8" width="11.1388888888889" style="5" customWidth="1"/>
    <col min="9" max="9" width="9.28703703703704" style="2" customWidth="1"/>
    <col min="10" max="10" width="9.71296296296296" style="5" customWidth="1"/>
    <col min="11" max="11" width="10.712962962963" style="5" customWidth="1"/>
    <col min="12" max="12" width="12" style="5" customWidth="1"/>
    <col min="13" max="13" width="14.287037037037" style="5" customWidth="1"/>
    <col min="14" max="15" width="13" style="5" customWidth="1"/>
    <col min="16" max="16" width="9.71296296296296" style="5" customWidth="1"/>
    <col min="17" max="17" width="11.4259259259259" style="5" customWidth="1"/>
    <col min="18" max="18" width="14.287037037037" style="5" customWidth="1"/>
    <col min="19" max="19" width="9.85185185185185" style="2" customWidth="1"/>
    <col min="20" max="20" width="13.287037037037" style="5" customWidth="1"/>
    <col min="21" max="21" width="14.1388888888889" style="5" customWidth="1"/>
    <col min="22" max="22" width="13" style="5" customWidth="1"/>
    <col min="23" max="23" width="12" style="5" customWidth="1"/>
    <col min="24" max="24" width="11.1388888888889" style="5" customWidth="1"/>
    <col min="25" max="25" width="7" style="5" customWidth="1"/>
    <col min="26" max="26" width="14.5740740740741" style="5" customWidth="1"/>
    <col min="27" max="16384" width="9.13888888888889" style="5" customWidth="1"/>
  </cols>
  <sheetData>
    <row r="2" s="1" customFormat="1" spans="1:1">
      <c r="A2" s="6" t="s">
        <v>325</v>
      </c>
    </row>
    <row r="3" s="1" customFormat="1" spans="1:1">
      <c r="A3" s="7"/>
    </row>
    <row r="4" spans="1:1">
      <c r="A4" s="7"/>
    </row>
    <row r="5" spans="23:24">
      <c r="W5" s="9" t="s">
        <v>514</v>
      </c>
      <c r="X5" s="9" t="s">
        <v>495</v>
      </c>
    </row>
    <row r="6" s="2" customFormat="1" ht="25.5" customHeight="1" spans="1:24">
      <c r="A6" s="8" t="s">
        <v>515</v>
      </c>
      <c r="B6" s="9" t="s">
        <v>516</v>
      </c>
      <c r="C6" s="8" t="s">
        <v>517</v>
      </c>
      <c r="D6" s="10" t="s">
        <v>518</v>
      </c>
      <c r="E6" s="11" t="s">
        <v>519</v>
      </c>
      <c r="F6" s="10" t="s">
        <v>520</v>
      </c>
      <c r="G6" s="11" t="s">
        <v>413</v>
      </c>
      <c r="H6" s="11" t="s">
        <v>415</v>
      </c>
      <c r="I6" s="11" t="s">
        <v>416</v>
      </c>
      <c r="J6" s="9" t="s">
        <v>128</v>
      </c>
      <c r="K6" s="9" t="s">
        <v>435</v>
      </c>
      <c r="L6" s="9" t="s">
        <v>85</v>
      </c>
      <c r="M6" s="8" t="s">
        <v>521</v>
      </c>
      <c r="N6" s="9" t="s">
        <v>5</v>
      </c>
      <c r="O6" s="9" t="s">
        <v>4</v>
      </c>
      <c r="P6" s="9" t="s">
        <v>6</v>
      </c>
      <c r="Q6" s="39" t="s">
        <v>522</v>
      </c>
      <c r="R6" s="40" t="s">
        <v>422</v>
      </c>
      <c r="S6" s="8" t="s">
        <v>523</v>
      </c>
      <c r="T6" s="8" t="s">
        <v>524</v>
      </c>
      <c r="U6" s="8" t="s">
        <v>525</v>
      </c>
      <c r="V6" s="8" t="s">
        <v>526</v>
      </c>
      <c r="W6" s="9" t="s">
        <v>85</v>
      </c>
      <c r="X6" s="9" t="s">
        <v>87</v>
      </c>
    </row>
    <row r="7" ht="13.8" spans="1:24">
      <c r="A7" s="12">
        <v>3</v>
      </c>
      <c r="B7" s="13" t="s">
        <v>527</v>
      </c>
      <c r="C7" s="14">
        <v>45392</v>
      </c>
      <c r="D7" s="15">
        <v>8</v>
      </c>
      <c r="E7" s="16" t="str">
        <f>+VLOOKUP(D7,'Party Master'!$A$2:$B$170,2,FALSE)</f>
        <v>ABD Engineering Works</v>
      </c>
      <c r="F7" s="16" t="s">
        <v>224</v>
      </c>
      <c r="G7" s="13" t="str">
        <f>+VLOOKUP(F7,'Stock Statement'!$A$3:$B$138,2,FALSE)</f>
        <v>HST Black 8mm</v>
      </c>
      <c r="H7" s="13">
        <v>2600</v>
      </c>
      <c r="I7" s="28" t="str">
        <f>+VLOOKUP(F7,'Stock Statement'!$A$3:$I$138,9,FALSE)</f>
        <v>MTRS</v>
      </c>
      <c r="J7" s="29">
        <v>6.65</v>
      </c>
      <c r="K7" s="30">
        <f t="shared" ref="K7:K67" si="0">(J7*H7)</f>
        <v>17290</v>
      </c>
      <c r="L7" s="31">
        <v>0</v>
      </c>
      <c r="M7" s="30">
        <f t="shared" ref="M7:M57" si="1">SUM(K7:L7)</f>
        <v>17290</v>
      </c>
      <c r="N7" s="30">
        <f t="shared" ref="N7:N21" si="2">+M7*9%</f>
        <v>1556.1</v>
      </c>
      <c r="O7" s="30">
        <f t="shared" ref="O7:O21" si="3">+M7*9%</f>
        <v>1556.1</v>
      </c>
      <c r="P7" s="30">
        <f t="shared" ref="P7:P67" si="4">(M7*0%)</f>
        <v>0</v>
      </c>
      <c r="Q7" s="30">
        <v>-0.2</v>
      </c>
      <c r="R7" s="30">
        <f t="shared" ref="R7:R57" si="5">SUM(M7:Q7)</f>
        <v>20402</v>
      </c>
      <c r="S7" s="12" t="s">
        <v>528</v>
      </c>
      <c r="T7" s="41">
        <v>45126</v>
      </c>
      <c r="U7" s="30">
        <v>20402</v>
      </c>
      <c r="V7" s="30">
        <f t="shared" ref="V7:V67" si="6">+R7-U7</f>
        <v>0</v>
      </c>
      <c r="W7" s="30">
        <v>300</v>
      </c>
      <c r="X7" s="42" t="str">
        <f>IF(U7&gt;V7,"Complete",C7+45)</f>
        <v>Complete</v>
      </c>
    </row>
    <row r="8" ht="13.8" spans="1:24">
      <c r="A8" s="12">
        <v>3</v>
      </c>
      <c r="B8" s="13" t="s">
        <v>527</v>
      </c>
      <c r="C8" s="14">
        <v>45392</v>
      </c>
      <c r="D8" s="15">
        <v>8</v>
      </c>
      <c r="E8" s="16" t="str">
        <f>+VLOOKUP(D8,'Party Master'!$A$2:$B$170,2,FALSE)</f>
        <v>ABD Engineering Works</v>
      </c>
      <c r="F8" s="16" t="s">
        <v>226</v>
      </c>
      <c r="G8" s="13" t="str">
        <f>+VLOOKUP(F8,'Stock Statement'!$A$3:$B$138,2,FALSE)</f>
        <v>HST Black 10mm</v>
      </c>
      <c r="H8" s="13">
        <v>1100</v>
      </c>
      <c r="I8" s="28" t="str">
        <f>+VLOOKUP(F8,'Stock Statement'!$A$3:$I$138,9,FALSE)</f>
        <v>MTRS</v>
      </c>
      <c r="J8" s="29">
        <v>7.95</v>
      </c>
      <c r="K8" s="30">
        <f t="shared" si="0"/>
        <v>8745</v>
      </c>
      <c r="L8" s="31">
        <v>0</v>
      </c>
      <c r="M8" s="30">
        <f t="shared" si="1"/>
        <v>8745</v>
      </c>
      <c r="N8" s="30">
        <f t="shared" si="2"/>
        <v>787.05</v>
      </c>
      <c r="O8" s="30">
        <f t="shared" si="3"/>
        <v>787.05</v>
      </c>
      <c r="P8" s="30">
        <f t="shared" si="4"/>
        <v>0</v>
      </c>
      <c r="Q8" s="30">
        <v>-0.1</v>
      </c>
      <c r="R8" s="30">
        <f t="shared" si="5"/>
        <v>10319</v>
      </c>
      <c r="S8" s="12" t="s">
        <v>528</v>
      </c>
      <c r="T8" s="41">
        <v>45126</v>
      </c>
      <c r="U8" s="30">
        <v>10319</v>
      </c>
      <c r="V8" s="30">
        <f t="shared" si="6"/>
        <v>0</v>
      </c>
      <c r="W8" s="30">
        <v>300</v>
      </c>
      <c r="X8" s="42" t="str">
        <f>IF(U8&gt;V8,"Complete",C8+60)</f>
        <v>Complete</v>
      </c>
    </row>
    <row r="9" ht="13.8" spans="1:24">
      <c r="A9" s="12">
        <v>4</v>
      </c>
      <c r="B9" s="13" t="s">
        <v>529</v>
      </c>
      <c r="C9" s="14">
        <v>45392</v>
      </c>
      <c r="D9" s="15">
        <v>3</v>
      </c>
      <c r="E9" s="16" t="str">
        <f>+VLOOKUP(D9,'Party Master'!$A$2:$B$170,2,FALSE)</f>
        <v>OPQ Manufacturing Industries Ltd.E1</v>
      </c>
      <c r="F9" s="16" t="s">
        <v>138</v>
      </c>
      <c r="G9" s="13" t="str">
        <f>+VLOOKUP(F9,'Stock Statement'!$A$3:$B$138,2,FALSE)</f>
        <v>BOPP Tape Brown 48mm x 65 mtrs </v>
      </c>
      <c r="H9" s="13">
        <f>3*72</f>
        <v>216</v>
      </c>
      <c r="I9" s="28" t="str">
        <f>+VLOOKUP(F9,'Stock Statement'!$A$3:$I$138,9,FALSE)</f>
        <v>NOS</v>
      </c>
      <c r="J9" s="29">
        <v>29.7</v>
      </c>
      <c r="K9" s="30">
        <f t="shared" si="0"/>
        <v>6415.2</v>
      </c>
      <c r="L9" s="31">
        <v>0</v>
      </c>
      <c r="M9" s="30">
        <f t="shared" si="1"/>
        <v>6415.2</v>
      </c>
      <c r="N9" s="30">
        <f t="shared" si="2"/>
        <v>577.368</v>
      </c>
      <c r="O9" s="30">
        <f t="shared" si="3"/>
        <v>577.368</v>
      </c>
      <c r="P9" s="30">
        <f t="shared" si="4"/>
        <v>0</v>
      </c>
      <c r="Q9" s="30">
        <v>0.06</v>
      </c>
      <c r="R9" s="30">
        <f t="shared" si="5"/>
        <v>7569.996</v>
      </c>
      <c r="S9" s="12">
        <v>284669</v>
      </c>
      <c r="T9" s="41">
        <v>45092</v>
      </c>
      <c r="U9" s="30">
        <v>7570</v>
      </c>
      <c r="V9" s="30">
        <f t="shared" si="6"/>
        <v>-0.00399999999990541</v>
      </c>
      <c r="W9" s="30">
        <v>300</v>
      </c>
      <c r="X9" s="42" t="str">
        <f>IF(U9&gt;V9,"Complete",C9+60)</f>
        <v>Complete</v>
      </c>
    </row>
    <row r="10" ht="13.8" spans="1:24">
      <c r="A10" s="12">
        <v>6</v>
      </c>
      <c r="B10" s="13" t="s">
        <v>530</v>
      </c>
      <c r="C10" s="14">
        <v>45393</v>
      </c>
      <c r="D10" s="15">
        <v>15</v>
      </c>
      <c r="E10" s="16" t="str">
        <f>+VLOOKUP(D10,'Party Master'!$A$2:$B$170,2,FALSE)</f>
        <v>BNO Wiring Technologies</v>
      </c>
      <c r="F10" s="16" t="s">
        <v>163</v>
      </c>
      <c r="G10" s="13" t="str">
        <f>+VLOOKUP(F10,'Stock Statement'!$A$3:$B$138,2,FALSE)</f>
        <v>Double Sided Foam Tape 20mmX5M</v>
      </c>
      <c r="H10" s="13">
        <v>66</v>
      </c>
      <c r="I10" s="28" t="str">
        <f>+VLOOKUP(F10,'Stock Statement'!$A$3:$I$138,9,FALSE)</f>
        <v>NOS</v>
      </c>
      <c r="J10" s="29">
        <v>16</v>
      </c>
      <c r="K10" s="30">
        <f t="shared" si="0"/>
        <v>1056</v>
      </c>
      <c r="L10" s="31">
        <v>0</v>
      </c>
      <c r="M10" s="30">
        <f t="shared" si="1"/>
        <v>1056</v>
      </c>
      <c r="N10" s="30">
        <f t="shared" si="2"/>
        <v>95.04</v>
      </c>
      <c r="O10" s="30">
        <f t="shared" si="3"/>
        <v>95.04</v>
      </c>
      <c r="P10" s="30">
        <f t="shared" si="4"/>
        <v>0</v>
      </c>
      <c r="Q10" s="30">
        <v>-0.08</v>
      </c>
      <c r="R10" s="30">
        <f t="shared" si="5"/>
        <v>1246</v>
      </c>
      <c r="S10" s="12" t="s">
        <v>528</v>
      </c>
      <c r="T10" s="41">
        <v>45108</v>
      </c>
      <c r="U10" s="30">
        <v>1246</v>
      </c>
      <c r="V10" s="30">
        <f t="shared" si="6"/>
        <v>0</v>
      </c>
      <c r="W10" s="30">
        <v>150</v>
      </c>
      <c r="X10" s="42" t="str">
        <f t="shared" ref="X10:X15" si="7">IF(U10&gt;V10,"Complete",C10+30)</f>
        <v>Complete</v>
      </c>
    </row>
    <row r="11" ht="13.8" spans="1:24">
      <c r="A11" s="12">
        <v>9</v>
      </c>
      <c r="B11" s="13" t="s">
        <v>531</v>
      </c>
      <c r="C11" s="14">
        <v>45405</v>
      </c>
      <c r="D11" s="15">
        <v>15</v>
      </c>
      <c r="E11" s="16" t="str">
        <f>+VLOOKUP(D11,'Party Master'!$A$2:$B$170,2,FALSE)</f>
        <v>BNO Wiring Technologies</v>
      </c>
      <c r="F11" s="16" t="s">
        <v>324</v>
      </c>
      <c r="G11" s="13" t="str">
        <f>+VLOOKUP(F11,'Stock Statement'!$A$3:$B$138,2,FALSE)</f>
        <v>Indrayani Industrial Suppliers</v>
      </c>
      <c r="H11" s="13">
        <v>20</v>
      </c>
      <c r="I11" s="28" t="str">
        <f>+VLOOKUP(F11,'Stock Statement'!$A$3:$I$138,9,FALSE)</f>
        <v>Ltrs</v>
      </c>
      <c r="J11" s="29">
        <v>250</v>
      </c>
      <c r="K11" s="30">
        <f t="shared" si="0"/>
        <v>5000</v>
      </c>
      <c r="L11" s="31">
        <v>0</v>
      </c>
      <c r="M11" s="30">
        <f t="shared" si="1"/>
        <v>5000</v>
      </c>
      <c r="N11" s="30">
        <f t="shared" si="2"/>
        <v>450</v>
      </c>
      <c r="O11" s="30">
        <f t="shared" si="3"/>
        <v>450</v>
      </c>
      <c r="P11" s="30">
        <f t="shared" si="4"/>
        <v>0</v>
      </c>
      <c r="Q11" s="30"/>
      <c r="R11" s="30">
        <f t="shared" si="5"/>
        <v>5900</v>
      </c>
      <c r="S11" s="12" t="s">
        <v>528</v>
      </c>
      <c r="T11" s="41">
        <v>45108</v>
      </c>
      <c r="U11" s="30">
        <v>5900</v>
      </c>
      <c r="V11" s="30">
        <f t="shared" si="6"/>
        <v>0</v>
      </c>
      <c r="W11" s="30">
        <v>150</v>
      </c>
      <c r="X11" s="42" t="str">
        <f t="shared" si="7"/>
        <v>Complete</v>
      </c>
    </row>
    <row r="12" ht="13.8" spans="1:24">
      <c r="A12" s="12">
        <v>9</v>
      </c>
      <c r="B12" s="13" t="s">
        <v>531</v>
      </c>
      <c r="C12" s="14">
        <v>45405</v>
      </c>
      <c r="D12" s="15">
        <v>15</v>
      </c>
      <c r="E12" s="16" t="str">
        <f>+VLOOKUP(D12,'Party Master'!$A$2:$B$170,2,FALSE)</f>
        <v>BNO Wiring Technologies</v>
      </c>
      <c r="F12" s="16" t="s">
        <v>321</v>
      </c>
      <c r="G12" s="13" t="str">
        <f>+VLOOKUP(F12,'Stock Statement'!$A$3:$B$138,2,FALSE)</f>
        <v>Solder Flux NC400</v>
      </c>
      <c r="H12" s="13">
        <v>10</v>
      </c>
      <c r="I12" s="28" t="str">
        <f>+VLOOKUP(F12,'Stock Statement'!$A$3:$I$138,9,FALSE)</f>
        <v>Ltrs</v>
      </c>
      <c r="J12" s="29">
        <v>340</v>
      </c>
      <c r="K12" s="30">
        <f t="shared" si="0"/>
        <v>3400</v>
      </c>
      <c r="L12" s="31">
        <v>0</v>
      </c>
      <c r="M12" s="30">
        <f t="shared" si="1"/>
        <v>3400</v>
      </c>
      <c r="N12" s="30">
        <f t="shared" si="2"/>
        <v>306</v>
      </c>
      <c r="O12" s="30">
        <f t="shared" si="3"/>
        <v>306</v>
      </c>
      <c r="P12" s="30">
        <f t="shared" si="4"/>
        <v>0</v>
      </c>
      <c r="Q12" s="30"/>
      <c r="R12" s="30">
        <f t="shared" si="5"/>
        <v>4012</v>
      </c>
      <c r="S12" s="12" t="s">
        <v>528</v>
      </c>
      <c r="T12" s="41">
        <v>45108</v>
      </c>
      <c r="U12" s="30">
        <v>4012</v>
      </c>
      <c r="V12" s="30">
        <f t="shared" si="6"/>
        <v>0</v>
      </c>
      <c r="W12" s="30"/>
      <c r="X12" s="42" t="str">
        <f t="shared" si="7"/>
        <v>Complete</v>
      </c>
    </row>
    <row r="13" ht="13.8" spans="1:24">
      <c r="A13" s="12">
        <v>13</v>
      </c>
      <c r="B13" s="13" t="s">
        <v>532</v>
      </c>
      <c r="C13" s="14">
        <v>45421</v>
      </c>
      <c r="D13" s="15">
        <v>15</v>
      </c>
      <c r="E13" s="16" t="str">
        <f>+VLOOKUP(D13,'Party Master'!$A$2:$B$170,2,FALSE)</f>
        <v>BNO Wiring Technologies</v>
      </c>
      <c r="F13" s="16" t="s">
        <v>163</v>
      </c>
      <c r="G13" s="13" t="str">
        <f>+VLOOKUP(F13,'Stock Statement'!$A$3:$B$138,2,FALSE)</f>
        <v>Double Sided Foam Tape 20mmX5M</v>
      </c>
      <c r="H13" s="13">
        <f>209+53</f>
        <v>262</v>
      </c>
      <c r="I13" s="28" t="str">
        <f>+VLOOKUP(F13,'Stock Statement'!$A$3:$I$138,9,FALSE)</f>
        <v>NOS</v>
      </c>
      <c r="J13" s="29">
        <v>16</v>
      </c>
      <c r="K13" s="30">
        <f t="shared" si="0"/>
        <v>4192</v>
      </c>
      <c r="L13" s="31">
        <v>0</v>
      </c>
      <c r="M13" s="30">
        <f t="shared" si="1"/>
        <v>4192</v>
      </c>
      <c r="N13" s="30">
        <f t="shared" si="2"/>
        <v>377.28</v>
      </c>
      <c r="O13" s="30">
        <f t="shared" si="3"/>
        <v>377.28</v>
      </c>
      <c r="P13" s="30">
        <f t="shared" si="4"/>
        <v>0</v>
      </c>
      <c r="Q13" s="30">
        <v>0.44</v>
      </c>
      <c r="R13" s="30">
        <f t="shared" si="5"/>
        <v>4947</v>
      </c>
      <c r="S13" s="12" t="s">
        <v>528</v>
      </c>
      <c r="T13" s="41">
        <v>45148</v>
      </c>
      <c r="U13" s="30">
        <v>4947</v>
      </c>
      <c r="V13" s="30">
        <f t="shared" si="6"/>
        <v>0</v>
      </c>
      <c r="W13" s="30">
        <v>150</v>
      </c>
      <c r="X13" s="42" t="str">
        <f t="shared" si="7"/>
        <v>Complete</v>
      </c>
    </row>
    <row r="14" ht="13.8" spans="1:24">
      <c r="A14" s="12">
        <v>13</v>
      </c>
      <c r="B14" s="13" t="s">
        <v>532</v>
      </c>
      <c r="C14" s="14">
        <v>45421</v>
      </c>
      <c r="D14" s="15">
        <v>15</v>
      </c>
      <c r="E14" s="16" t="str">
        <f>+VLOOKUP(D14,'Party Master'!$A$2:$B$170,2,FALSE)</f>
        <v>BNO Wiring Technologies</v>
      </c>
      <c r="F14" s="16" t="s">
        <v>324</v>
      </c>
      <c r="G14" s="13" t="str">
        <f>+VLOOKUP(F14,'Stock Statement'!$A$3:$B$138,2,FALSE)</f>
        <v>Indrayani Industrial Suppliers</v>
      </c>
      <c r="H14" s="13">
        <v>20</v>
      </c>
      <c r="I14" s="28" t="str">
        <f>+VLOOKUP(F14,'Stock Statement'!$A$3:$I$138,9,FALSE)</f>
        <v>Ltrs</v>
      </c>
      <c r="J14" s="29">
        <v>250</v>
      </c>
      <c r="K14" s="30">
        <f t="shared" si="0"/>
        <v>5000</v>
      </c>
      <c r="L14" s="31">
        <v>0</v>
      </c>
      <c r="M14" s="30">
        <f t="shared" si="1"/>
        <v>5000</v>
      </c>
      <c r="N14" s="30">
        <f t="shared" si="2"/>
        <v>450</v>
      </c>
      <c r="O14" s="30">
        <f t="shared" si="3"/>
        <v>450</v>
      </c>
      <c r="P14" s="30">
        <f t="shared" si="4"/>
        <v>0</v>
      </c>
      <c r="Q14" s="30"/>
      <c r="R14" s="30">
        <f t="shared" si="5"/>
        <v>5900</v>
      </c>
      <c r="S14" s="12" t="s">
        <v>528</v>
      </c>
      <c r="T14" s="41">
        <v>45148</v>
      </c>
      <c r="U14" s="30">
        <v>5900</v>
      </c>
      <c r="V14" s="30">
        <f t="shared" si="6"/>
        <v>0</v>
      </c>
      <c r="W14" s="30">
        <v>150</v>
      </c>
      <c r="X14" s="42" t="str">
        <f t="shared" si="7"/>
        <v>Complete</v>
      </c>
    </row>
    <row r="15" ht="13.8" spans="1:24">
      <c r="A15" s="12">
        <v>13</v>
      </c>
      <c r="B15" s="13" t="s">
        <v>532</v>
      </c>
      <c r="C15" s="14">
        <v>45421</v>
      </c>
      <c r="D15" s="15">
        <v>15</v>
      </c>
      <c r="E15" s="16" t="str">
        <f>+VLOOKUP(D15,'Party Master'!$A$2:$B$170,2,FALSE)</f>
        <v>BNO Wiring Technologies</v>
      </c>
      <c r="F15" s="16" t="s">
        <v>321</v>
      </c>
      <c r="G15" s="13" t="str">
        <f>+VLOOKUP(F15,'Stock Statement'!$A$3:$B$138,2,FALSE)</f>
        <v>Solder Flux NC400</v>
      </c>
      <c r="H15" s="13">
        <v>10</v>
      </c>
      <c r="I15" s="28" t="str">
        <f>+VLOOKUP(F15,'Stock Statement'!$A$3:$I$138,9,FALSE)</f>
        <v>Ltrs</v>
      </c>
      <c r="J15" s="29">
        <v>340</v>
      </c>
      <c r="K15" s="30">
        <f t="shared" si="0"/>
        <v>3400</v>
      </c>
      <c r="L15" s="31">
        <v>0</v>
      </c>
      <c r="M15" s="30">
        <f t="shared" si="1"/>
        <v>3400</v>
      </c>
      <c r="N15" s="30">
        <f t="shared" si="2"/>
        <v>306</v>
      </c>
      <c r="O15" s="30">
        <f t="shared" si="3"/>
        <v>306</v>
      </c>
      <c r="P15" s="30">
        <f t="shared" si="4"/>
        <v>0</v>
      </c>
      <c r="Q15" s="30"/>
      <c r="R15" s="30">
        <f t="shared" si="5"/>
        <v>4012</v>
      </c>
      <c r="S15" s="12" t="s">
        <v>528</v>
      </c>
      <c r="T15" s="41">
        <v>45148</v>
      </c>
      <c r="U15" s="30">
        <v>4012</v>
      </c>
      <c r="V15" s="30">
        <f t="shared" si="6"/>
        <v>0</v>
      </c>
      <c r="W15" s="30">
        <v>150</v>
      </c>
      <c r="X15" s="42" t="str">
        <f t="shared" si="7"/>
        <v>Complete</v>
      </c>
    </row>
    <row r="16" ht="13.8" spans="1:24">
      <c r="A16" s="12">
        <v>16</v>
      </c>
      <c r="B16" s="13" t="s">
        <v>533</v>
      </c>
      <c r="C16" s="14">
        <v>45425</v>
      </c>
      <c r="D16" s="15">
        <v>8</v>
      </c>
      <c r="E16" s="16" t="str">
        <f>+VLOOKUP(D16,'Party Master'!$A$2:$B$170,2,FALSE)</f>
        <v>ABD Engineering Works</v>
      </c>
      <c r="F16" s="16" t="s">
        <v>224</v>
      </c>
      <c r="G16" s="13" t="str">
        <f>+VLOOKUP(F16,'Stock Statement'!$A$3:$B$138,2,FALSE)</f>
        <v>HST Black 8mm</v>
      </c>
      <c r="H16" s="13">
        <v>2600</v>
      </c>
      <c r="I16" s="28" t="str">
        <f>+VLOOKUP(F16,'Stock Statement'!$A$3:$I$138,9,FALSE)</f>
        <v>MTRS</v>
      </c>
      <c r="J16" s="29">
        <v>6.65</v>
      </c>
      <c r="K16" s="30">
        <f t="shared" si="0"/>
        <v>17290</v>
      </c>
      <c r="L16" s="31">
        <v>0</v>
      </c>
      <c r="M16" s="30">
        <f t="shared" si="1"/>
        <v>17290</v>
      </c>
      <c r="N16" s="30">
        <f t="shared" si="2"/>
        <v>1556.1</v>
      </c>
      <c r="O16" s="30">
        <f t="shared" si="3"/>
        <v>1556.1</v>
      </c>
      <c r="P16" s="30">
        <f t="shared" si="4"/>
        <v>0</v>
      </c>
      <c r="Q16" s="30">
        <v>-0.2</v>
      </c>
      <c r="R16" s="30">
        <f t="shared" si="5"/>
        <v>20402</v>
      </c>
      <c r="S16" s="12" t="s">
        <v>528</v>
      </c>
      <c r="T16" s="41">
        <v>45126</v>
      </c>
      <c r="U16" s="30">
        <v>20402</v>
      </c>
      <c r="V16" s="30">
        <f t="shared" si="6"/>
        <v>0</v>
      </c>
      <c r="W16" s="30">
        <v>150</v>
      </c>
      <c r="X16" s="42" t="str">
        <f>IF(U16&gt;V16,"Complete",C16+60)</f>
        <v>Complete</v>
      </c>
    </row>
    <row r="17" ht="13.8" spans="1:24">
      <c r="A17" s="12">
        <v>16</v>
      </c>
      <c r="B17" s="13" t="s">
        <v>533</v>
      </c>
      <c r="C17" s="14">
        <v>45425</v>
      </c>
      <c r="D17" s="15">
        <v>8</v>
      </c>
      <c r="E17" s="16" t="str">
        <f>+VLOOKUP(D17,'Party Master'!$A$2:$B$170,2,FALSE)</f>
        <v>ABD Engineering Works</v>
      </c>
      <c r="F17" s="16" t="s">
        <v>226</v>
      </c>
      <c r="G17" s="13" t="str">
        <f>+VLOOKUP(F17,'Stock Statement'!$A$3:$B$138,2,FALSE)</f>
        <v>HST Black 10mm</v>
      </c>
      <c r="H17" s="13">
        <v>1100</v>
      </c>
      <c r="I17" s="28" t="str">
        <f>+VLOOKUP(F17,'Stock Statement'!$A$3:$I$138,9,FALSE)</f>
        <v>MTRS</v>
      </c>
      <c r="J17" s="29">
        <v>7.95</v>
      </c>
      <c r="K17" s="30">
        <f t="shared" si="0"/>
        <v>8745</v>
      </c>
      <c r="L17" s="31">
        <v>0</v>
      </c>
      <c r="M17" s="30">
        <f t="shared" si="1"/>
        <v>8745</v>
      </c>
      <c r="N17" s="30">
        <f t="shared" si="2"/>
        <v>787.05</v>
      </c>
      <c r="O17" s="30">
        <f t="shared" si="3"/>
        <v>787.05</v>
      </c>
      <c r="P17" s="30">
        <f t="shared" si="4"/>
        <v>0</v>
      </c>
      <c r="Q17" s="30">
        <v>-0.1</v>
      </c>
      <c r="R17" s="30">
        <f t="shared" si="5"/>
        <v>10319</v>
      </c>
      <c r="S17" s="12" t="s">
        <v>528</v>
      </c>
      <c r="T17" s="41">
        <v>45126</v>
      </c>
      <c r="U17" s="30">
        <v>10319</v>
      </c>
      <c r="V17" s="30">
        <f t="shared" si="6"/>
        <v>0</v>
      </c>
      <c r="W17" s="30">
        <v>150</v>
      </c>
      <c r="X17" s="42" t="str">
        <f>IF(U17&gt;V17,"Complete",C17+60)</f>
        <v>Complete</v>
      </c>
    </row>
    <row r="18" ht="13.8" spans="1:24">
      <c r="A18" s="12">
        <v>19</v>
      </c>
      <c r="B18" s="13" t="s">
        <v>534</v>
      </c>
      <c r="C18" s="14">
        <v>45449</v>
      </c>
      <c r="D18" s="15">
        <v>15</v>
      </c>
      <c r="E18" s="16" t="str">
        <f>+VLOOKUP(D18,'Party Master'!$A$2:$B$170,2,FALSE)</f>
        <v>BNO Wiring Technologies</v>
      </c>
      <c r="F18" s="16" t="s">
        <v>324</v>
      </c>
      <c r="G18" s="13" t="str">
        <f>+VLOOKUP(F18,'Stock Statement'!$A$3:$B$138,2,FALSE)</f>
        <v>Indrayani Industrial Suppliers</v>
      </c>
      <c r="H18" s="13">
        <v>40</v>
      </c>
      <c r="I18" s="28" t="str">
        <f>+VLOOKUP(F18,'Stock Statement'!$A$3:$I$138,9,FALSE)</f>
        <v>Ltrs</v>
      </c>
      <c r="J18" s="29">
        <v>250</v>
      </c>
      <c r="K18" s="30">
        <f t="shared" si="0"/>
        <v>10000</v>
      </c>
      <c r="L18" s="31">
        <v>0</v>
      </c>
      <c r="M18" s="30">
        <f t="shared" si="1"/>
        <v>10000</v>
      </c>
      <c r="N18" s="30">
        <f t="shared" si="2"/>
        <v>900</v>
      </c>
      <c r="O18" s="30">
        <f t="shared" si="3"/>
        <v>900</v>
      </c>
      <c r="P18" s="30">
        <f t="shared" si="4"/>
        <v>0</v>
      </c>
      <c r="Q18" s="30"/>
      <c r="R18" s="30">
        <f t="shared" si="5"/>
        <v>11800</v>
      </c>
      <c r="S18" s="12" t="s">
        <v>528</v>
      </c>
      <c r="T18" s="41">
        <v>45148</v>
      </c>
      <c r="U18" s="30">
        <v>11800</v>
      </c>
      <c r="V18" s="30">
        <f t="shared" si="6"/>
        <v>0</v>
      </c>
      <c r="W18" s="30">
        <v>300</v>
      </c>
      <c r="X18" s="42" t="str">
        <f>IF(U18&gt;V18,"Complete",C18+0)</f>
        <v>Complete</v>
      </c>
    </row>
    <row r="19" ht="13.8" spans="1:24">
      <c r="A19" s="12">
        <v>20</v>
      </c>
      <c r="B19" s="13" t="s">
        <v>535</v>
      </c>
      <c r="C19" s="14">
        <v>45452</v>
      </c>
      <c r="D19" s="15">
        <v>8</v>
      </c>
      <c r="E19" s="16" t="str">
        <f>+VLOOKUP(D19,'Party Master'!$A$2:$B$170,2,FALSE)</f>
        <v>ABD Engineering Works</v>
      </c>
      <c r="F19" s="16" t="s">
        <v>224</v>
      </c>
      <c r="G19" s="13" t="str">
        <f>+VLOOKUP(F19,'Stock Statement'!$A$3:$B$138,2,FALSE)</f>
        <v>HST Black 8mm</v>
      </c>
      <c r="H19" s="13">
        <v>2600</v>
      </c>
      <c r="I19" s="28" t="str">
        <f>+VLOOKUP(F19,'Stock Statement'!$A$3:$I$138,9,FALSE)</f>
        <v>MTRS</v>
      </c>
      <c r="J19" s="29">
        <v>6.65</v>
      </c>
      <c r="K19" s="30">
        <f t="shared" si="0"/>
        <v>17290</v>
      </c>
      <c r="L19" s="31">
        <v>0</v>
      </c>
      <c r="M19" s="30">
        <f t="shared" si="1"/>
        <v>17290</v>
      </c>
      <c r="N19" s="30">
        <f t="shared" si="2"/>
        <v>1556.1</v>
      </c>
      <c r="O19" s="30">
        <f t="shared" si="3"/>
        <v>1556.1</v>
      </c>
      <c r="P19" s="30">
        <f t="shared" si="4"/>
        <v>0</v>
      </c>
      <c r="Q19" s="30">
        <v>-0.2</v>
      </c>
      <c r="R19" s="30">
        <f t="shared" si="5"/>
        <v>20402</v>
      </c>
      <c r="S19" s="12" t="s">
        <v>528</v>
      </c>
      <c r="T19" s="41">
        <v>45187</v>
      </c>
      <c r="U19" s="30">
        <v>20402</v>
      </c>
      <c r="V19" s="30">
        <f t="shared" si="6"/>
        <v>0</v>
      </c>
      <c r="W19" s="30">
        <v>600</v>
      </c>
      <c r="X19" s="42" t="str">
        <f>IF(U19&gt;V19,"Complete",C19+60)</f>
        <v>Complete</v>
      </c>
    </row>
    <row r="20" ht="13.8" spans="1:24">
      <c r="A20" s="12">
        <v>20</v>
      </c>
      <c r="B20" s="13" t="s">
        <v>535</v>
      </c>
      <c r="C20" s="14">
        <v>45452</v>
      </c>
      <c r="D20" s="15">
        <v>8</v>
      </c>
      <c r="E20" s="16" t="str">
        <f>+VLOOKUP(D20,'Party Master'!$A$2:$B$170,2,FALSE)</f>
        <v>ABD Engineering Works</v>
      </c>
      <c r="F20" s="16" t="s">
        <v>339</v>
      </c>
      <c r="G20" s="13" t="str">
        <f>+VLOOKUP(F20,'Stock Statement'!$A$3:$B$138,2,FALSE)</f>
        <v>Spiral Tube 10mm</v>
      </c>
      <c r="H20" s="13">
        <v>25</v>
      </c>
      <c r="I20" s="28" t="str">
        <f>+VLOOKUP(F20,'Stock Statement'!$A$3:$I$138,9,FALSE)</f>
        <v>MTRS</v>
      </c>
      <c r="J20" s="29">
        <v>12</v>
      </c>
      <c r="K20" s="30">
        <f t="shared" si="0"/>
        <v>300</v>
      </c>
      <c r="L20" s="31">
        <v>0</v>
      </c>
      <c r="M20" s="30">
        <f t="shared" si="1"/>
        <v>300</v>
      </c>
      <c r="N20" s="30">
        <f t="shared" si="2"/>
        <v>27</v>
      </c>
      <c r="O20" s="30">
        <f t="shared" si="3"/>
        <v>27</v>
      </c>
      <c r="P20" s="30">
        <f t="shared" si="4"/>
        <v>0</v>
      </c>
      <c r="Q20" s="30"/>
      <c r="R20" s="30">
        <f t="shared" si="5"/>
        <v>354</v>
      </c>
      <c r="S20" s="12" t="s">
        <v>528</v>
      </c>
      <c r="T20" s="41">
        <v>45187</v>
      </c>
      <c r="U20" s="30">
        <v>354</v>
      </c>
      <c r="V20" s="30">
        <f t="shared" si="6"/>
        <v>0</v>
      </c>
      <c r="W20" s="30">
        <v>75</v>
      </c>
      <c r="X20" s="42" t="str">
        <f>IF(U20&gt;V20,"Complete",C20+60)</f>
        <v>Complete</v>
      </c>
    </row>
    <row r="21" ht="13.8" spans="1:24">
      <c r="A21" s="12">
        <v>20</v>
      </c>
      <c r="B21" s="13" t="s">
        <v>535</v>
      </c>
      <c r="C21" s="14">
        <v>45452</v>
      </c>
      <c r="D21" s="15">
        <v>8</v>
      </c>
      <c r="E21" s="16" t="str">
        <f>+VLOOKUP(D21,'Party Master'!$A$2:$B$170,2,FALSE)</f>
        <v>ABD Engineering Works</v>
      </c>
      <c r="F21" s="16" t="s">
        <v>341</v>
      </c>
      <c r="G21" s="13" t="str">
        <f>+VLOOKUP(F21,'Stock Statement'!$A$3:$B$138,2,FALSE)</f>
        <v>Spiral Tube 12mm</v>
      </c>
      <c r="H21" s="13">
        <v>25</v>
      </c>
      <c r="I21" s="28" t="str">
        <f>+VLOOKUP(F21,'Stock Statement'!$A$3:$I$138,9,FALSE)</f>
        <v>MTRS</v>
      </c>
      <c r="J21" s="29">
        <v>13.35</v>
      </c>
      <c r="K21" s="30">
        <f t="shared" si="0"/>
        <v>333.75</v>
      </c>
      <c r="L21" s="31">
        <v>0</v>
      </c>
      <c r="M21" s="30">
        <f t="shared" si="1"/>
        <v>333.75</v>
      </c>
      <c r="N21" s="30">
        <f t="shared" si="2"/>
        <v>30.0375</v>
      </c>
      <c r="O21" s="30">
        <f t="shared" si="3"/>
        <v>30.0375</v>
      </c>
      <c r="P21" s="30">
        <f t="shared" si="4"/>
        <v>0</v>
      </c>
      <c r="Q21" s="30">
        <v>0.17</v>
      </c>
      <c r="R21" s="30">
        <f t="shared" si="5"/>
        <v>393.995</v>
      </c>
      <c r="S21" s="12" t="s">
        <v>528</v>
      </c>
      <c r="T21" s="41">
        <v>45187</v>
      </c>
      <c r="U21" s="30">
        <v>393.995</v>
      </c>
      <c r="V21" s="30">
        <f t="shared" si="6"/>
        <v>0</v>
      </c>
      <c r="W21" s="30">
        <v>75</v>
      </c>
      <c r="X21" s="42" t="str">
        <f>IF(U21&gt;V21,"Complete",C21+60)</f>
        <v>Complete</v>
      </c>
    </row>
    <row r="22" ht="13.8" spans="1:24">
      <c r="A22" s="12">
        <v>21</v>
      </c>
      <c r="B22" s="13" t="s">
        <v>536</v>
      </c>
      <c r="C22" s="14">
        <v>45460</v>
      </c>
      <c r="D22" s="15">
        <v>7</v>
      </c>
      <c r="E22" s="16" t="str">
        <f>+VLOOKUP(D22,'Party Master'!$A$2:$B$170,2,FALSE)</f>
        <v>UVW SwitchGears &amp; Transformers Pvt Ltd</v>
      </c>
      <c r="F22" s="16" t="s">
        <v>158</v>
      </c>
      <c r="G22" s="13" t="str">
        <f>+VLOOKUP(F22,'Stock Statement'!$A$3:$B$138,2,FALSE)</f>
        <v>CRAPE PAPER BROWN 4mil 1 Inch</v>
      </c>
      <c r="H22" s="13">
        <v>31.4</v>
      </c>
      <c r="I22" s="28" t="str">
        <f>+VLOOKUP(F22,'Stock Statement'!$A$3:$I$138,9,FALSE)</f>
        <v>KGS</v>
      </c>
      <c r="J22" s="29">
        <v>255</v>
      </c>
      <c r="K22" s="30">
        <f t="shared" si="0"/>
        <v>8007</v>
      </c>
      <c r="L22" s="31">
        <v>0</v>
      </c>
      <c r="M22" s="30">
        <f t="shared" si="1"/>
        <v>8007</v>
      </c>
      <c r="N22" s="30">
        <f>+M22*6%</f>
        <v>480.42</v>
      </c>
      <c r="O22" s="30">
        <f>+M22*6%</f>
        <v>480.42</v>
      </c>
      <c r="P22" s="30">
        <f t="shared" si="4"/>
        <v>0</v>
      </c>
      <c r="Q22" s="30">
        <v>0.16</v>
      </c>
      <c r="R22" s="30">
        <f t="shared" si="5"/>
        <v>8968</v>
      </c>
      <c r="S22" s="12" t="s">
        <v>528</v>
      </c>
      <c r="T22" s="41">
        <v>45133</v>
      </c>
      <c r="U22" s="30">
        <v>8968</v>
      </c>
      <c r="V22" s="30">
        <f t="shared" si="6"/>
        <v>0</v>
      </c>
      <c r="W22" s="30">
        <v>500</v>
      </c>
      <c r="X22" s="42" t="str">
        <f>IF(U22&gt;V22,"Complete",C22+45)</f>
        <v>Complete</v>
      </c>
    </row>
    <row r="23" ht="13.8" spans="1:24">
      <c r="A23" s="12">
        <v>22</v>
      </c>
      <c r="B23" s="13" t="s">
        <v>537</v>
      </c>
      <c r="C23" s="14">
        <v>45470</v>
      </c>
      <c r="D23" s="15">
        <v>15</v>
      </c>
      <c r="E23" s="16" t="str">
        <f>+VLOOKUP(D23,'Party Master'!$A$2:$B$170,2,FALSE)</f>
        <v>BNO Wiring Technologies</v>
      </c>
      <c r="F23" s="16" t="s">
        <v>379</v>
      </c>
      <c r="G23" s="13" t="str">
        <f>+VLOOKUP(F23,'Stock Statement'!$A$3:$B$138,2,FALSE)</f>
        <v>VFG F-Class White 4mm</v>
      </c>
      <c r="H23" s="13">
        <v>1000</v>
      </c>
      <c r="I23" s="28" t="str">
        <f>+VLOOKUP(F23,'Stock Statement'!$A$3:$I$138,9,FALSE)</f>
        <v>MTRS</v>
      </c>
      <c r="J23" s="29">
        <v>4.8</v>
      </c>
      <c r="K23" s="30">
        <f t="shared" si="0"/>
        <v>4800</v>
      </c>
      <c r="L23" s="31">
        <v>0</v>
      </c>
      <c r="M23" s="30">
        <f t="shared" si="1"/>
        <v>4800</v>
      </c>
      <c r="N23" s="30">
        <f t="shared" ref="N23:N42" si="8">+M23*9%</f>
        <v>432</v>
      </c>
      <c r="O23" s="30">
        <f t="shared" ref="O23:O42" si="9">+M23*9%</f>
        <v>432</v>
      </c>
      <c r="P23" s="30">
        <f t="shared" si="4"/>
        <v>0</v>
      </c>
      <c r="Q23" s="30"/>
      <c r="R23" s="30">
        <f t="shared" si="5"/>
        <v>5664</v>
      </c>
      <c r="S23" s="12" t="s">
        <v>528</v>
      </c>
      <c r="T23" s="41">
        <v>45148</v>
      </c>
      <c r="U23" s="30">
        <v>5664</v>
      </c>
      <c r="V23" s="30">
        <f t="shared" si="6"/>
        <v>0</v>
      </c>
      <c r="W23" s="30">
        <v>150</v>
      </c>
      <c r="X23" s="42" t="str">
        <f>IF(U23&gt;V23,"Complete",C23+30)</f>
        <v>Complete</v>
      </c>
    </row>
    <row r="24" ht="13.8" spans="1:24">
      <c r="A24" s="12">
        <v>23</v>
      </c>
      <c r="B24" s="13" t="s">
        <v>538</v>
      </c>
      <c r="C24" s="14">
        <v>45473</v>
      </c>
      <c r="D24" s="15">
        <v>15</v>
      </c>
      <c r="E24" s="16" t="str">
        <f>+VLOOKUP(D24,'Party Master'!$A$2:$B$170,2,FALSE)</f>
        <v>BNO Wiring Technologies</v>
      </c>
      <c r="F24" s="16" t="s">
        <v>324</v>
      </c>
      <c r="G24" s="13" t="str">
        <f>+VLOOKUP(F24,'Stock Statement'!$A$3:$B$138,2,FALSE)</f>
        <v>Indrayani Industrial Suppliers</v>
      </c>
      <c r="H24" s="13">
        <v>20</v>
      </c>
      <c r="I24" s="28" t="str">
        <f>+VLOOKUP(F24,'Stock Statement'!$A$3:$I$138,9,FALSE)</f>
        <v>Ltrs</v>
      </c>
      <c r="J24" s="29">
        <v>250</v>
      </c>
      <c r="K24" s="30">
        <f t="shared" si="0"/>
        <v>5000</v>
      </c>
      <c r="L24" s="31">
        <v>0</v>
      </c>
      <c r="M24" s="30">
        <f t="shared" si="1"/>
        <v>5000</v>
      </c>
      <c r="N24" s="30">
        <f t="shared" si="8"/>
        <v>450</v>
      </c>
      <c r="O24" s="30">
        <f t="shared" si="9"/>
        <v>450</v>
      </c>
      <c r="P24" s="30">
        <f t="shared" si="4"/>
        <v>0</v>
      </c>
      <c r="Q24" s="30"/>
      <c r="R24" s="30">
        <f t="shared" si="5"/>
        <v>5900</v>
      </c>
      <c r="S24" s="12" t="s">
        <v>528</v>
      </c>
      <c r="T24" s="41">
        <v>45148</v>
      </c>
      <c r="U24" s="30">
        <v>5900</v>
      </c>
      <c r="V24" s="30">
        <f t="shared" si="6"/>
        <v>0</v>
      </c>
      <c r="W24" s="30">
        <v>150</v>
      </c>
      <c r="X24" s="42" t="str">
        <f>IF(U24&gt;V24,"Complete",C24+30)</f>
        <v>Complete</v>
      </c>
    </row>
    <row r="25" ht="13.8" spans="1:24">
      <c r="A25" s="12">
        <v>23</v>
      </c>
      <c r="B25" s="13" t="s">
        <v>538</v>
      </c>
      <c r="C25" s="14">
        <v>45473</v>
      </c>
      <c r="D25" s="15">
        <v>15</v>
      </c>
      <c r="E25" s="16" t="str">
        <f>+VLOOKUP(D25,'Party Master'!$A$2:$B$170,2,FALSE)</f>
        <v>BNO Wiring Technologies</v>
      </c>
      <c r="F25" s="16" t="s">
        <v>321</v>
      </c>
      <c r="G25" s="13" t="str">
        <f>+VLOOKUP(F25,'Stock Statement'!$A$3:$B$138,2,FALSE)</f>
        <v>Solder Flux NC400</v>
      </c>
      <c r="H25" s="13">
        <v>10</v>
      </c>
      <c r="I25" s="28" t="str">
        <f>+VLOOKUP(F25,'Stock Statement'!$A$3:$I$138,9,FALSE)</f>
        <v>Ltrs</v>
      </c>
      <c r="J25" s="29">
        <v>340</v>
      </c>
      <c r="K25" s="30">
        <f t="shared" si="0"/>
        <v>3400</v>
      </c>
      <c r="L25" s="31">
        <v>0</v>
      </c>
      <c r="M25" s="30">
        <f t="shared" si="1"/>
        <v>3400</v>
      </c>
      <c r="N25" s="30">
        <f t="shared" si="8"/>
        <v>306</v>
      </c>
      <c r="O25" s="30">
        <f t="shared" si="9"/>
        <v>306</v>
      </c>
      <c r="P25" s="30">
        <f t="shared" si="4"/>
        <v>0</v>
      </c>
      <c r="Q25" s="30"/>
      <c r="R25" s="30">
        <f t="shared" si="5"/>
        <v>4012</v>
      </c>
      <c r="S25" s="12" t="s">
        <v>528</v>
      </c>
      <c r="T25" s="41">
        <v>45148</v>
      </c>
      <c r="U25" s="30">
        <v>4012</v>
      </c>
      <c r="V25" s="30">
        <f t="shared" si="6"/>
        <v>0</v>
      </c>
      <c r="W25" s="30">
        <v>150</v>
      </c>
      <c r="X25" s="42" t="str">
        <f>IF(U25&gt;V25,"Complete",C25+30)</f>
        <v>Complete</v>
      </c>
    </row>
    <row r="26" ht="13.8" spans="1:24">
      <c r="A26" s="12">
        <v>23</v>
      </c>
      <c r="B26" s="13" t="s">
        <v>538</v>
      </c>
      <c r="C26" s="14">
        <v>45473</v>
      </c>
      <c r="D26" s="15">
        <v>15</v>
      </c>
      <c r="E26" s="16" t="str">
        <f>+VLOOKUP(D26,'Party Master'!$A$2:$B$170,2,FALSE)</f>
        <v>BNO Wiring Technologies</v>
      </c>
      <c r="F26" s="16" t="s">
        <v>375</v>
      </c>
      <c r="G26" s="13" t="str">
        <f>+VLOOKUP(F26,'Stock Statement'!$A$3:$B$138,2,FALSE)</f>
        <v>VFG F-Class White 2mm</v>
      </c>
      <c r="H26" s="13">
        <v>400</v>
      </c>
      <c r="I26" s="28" t="str">
        <f>+VLOOKUP(F26,'Stock Statement'!$A$3:$I$138,9,FALSE)</f>
        <v>MTRS</v>
      </c>
      <c r="J26" s="29">
        <v>2.8</v>
      </c>
      <c r="K26" s="30">
        <f t="shared" si="0"/>
        <v>1120</v>
      </c>
      <c r="L26" s="31">
        <v>0</v>
      </c>
      <c r="M26" s="30">
        <f t="shared" si="1"/>
        <v>1120</v>
      </c>
      <c r="N26" s="30">
        <f t="shared" si="8"/>
        <v>100.8</v>
      </c>
      <c r="O26" s="30">
        <f t="shared" si="9"/>
        <v>100.8</v>
      </c>
      <c r="P26" s="30">
        <f t="shared" si="4"/>
        <v>0</v>
      </c>
      <c r="Q26" s="30">
        <v>0.4</v>
      </c>
      <c r="R26" s="30">
        <f t="shared" si="5"/>
        <v>1322</v>
      </c>
      <c r="S26" s="12" t="s">
        <v>528</v>
      </c>
      <c r="T26" s="41">
        <v>45148</v>
      </c>
      <c r="U26" s="30">
        <v>1322</v>
      </c>
      <c r="V26" s="30">
        <f t="shared" si="6"/>
        <v>0</v>
      </c>
      <c r="W26" s="30"/>
      <c r="X26" s="42" t="str">
        <f>IF(U26&gt;V26,"Complete",C26+30)</f>
        <v>Complete</v>
      </c>
    </row>
    <row r="27" ht="13.8" spans="1:24">
      <c r="A27" s="12">
        <v>24</v>
      </c>
      <c r="B27" s="13" t="s">
        <v>539</v>
      </c>
      <c r="C27" s="14">
        <v>45479</v>
      </c>
      <c r="D27" s="15">
        <v>8</v>
      </c>
      <c r="E27" s="16" t="str">
        <f>+VLOOKUP(D27,'Party Master'!$A$2:$B$170,2,FALSE)</f>
        <v>ABD Engineering Works</v>
      </c>
      <c r="F27" s="16" t="s">
        <v>224</v>
      </c>
      <c r="G27" s="13" t="str">
        <f>+VLOOKUP(F27,'Stock Statement'!$A$3:$B$138,2,FALSE)</f>
        <v>HST Black 8mm</v>
      </c>
      <c r="H27" s="13">
        <v>2600</v>
      </c>
      <c r="I27" s="28" t="str">
        <f>+VLOOKUP(F27,'Stock Statement'!$A$3:$I$138,9,FALSE)</f>
        <v>MTRS</v>
      </c>
      <c r="J27" s="29">
        <v>6.65</v>
      </c>
      <c r="K27" s="30">
        <f t="shared" si="0"/>
        <v>17290</v>
      </c>
      <c r="L27" s="31">
        <v>0</v>
      </c>
      <c r="M27" s="30">
        <f t="shared" si="1"/>
        <v>17290</v>
      </c>
      <c r="N27" s="30">
        <f t="shared" si="8"/>
        <v>1556.1</v>
      </c>
      <c r="O27" s="30">
        <f t="shared" si="9"/>
        <v>1556.1</v>
      </c>
      <c r="P27" s="30">
        <f t="shared" si="4"/>
        <v>0</v>
      </c>
      <c r="Q27" s="30">
        <v>-0.2</v>
      </c>
      <c r="R27" s="30">
        <f t="shared" si="5"/>
        <v>20402</v>
      </c>
      <c r="S27" s="12" t="s">
        <v>528</v>
      </c>
      <c r="T27" s="41">
        <v>45187</v>
      </c>
      <c r="U27" s="30">
        <v>20402</v>
      </c>
      <c r="V27" s="30">
        <f t="shared" si="6"/>
        <v>0</v>
      </c>
      <c r="W27" s="30">
        <v>600</v>
      </c>
      <c r="X27" s="42" t="str">
        <f>IF(U27&gt;V27,"Complete",C27+60)</f>
        <v>Complete</v>
      </c>
    </row>
    <row r="28" ht="13.8" spans="1:24">
      <c r="A28" s="12">
        <v>24</v>
      </c>
      <c r="B28" s="13" t="s">
        <v>539</v>
      </c>
      <c r="C28" s="14">
        <v>45479</v>
      </c>
      <c r="D28" s="15">
        <v>8</v>
      </c>
      <c r="E28" s="16" t="str">
        <f>+VLOOKUP(D28,'Party Master'!$A$2:$B$170,2,FALSE)</f>
        <v>ABD Engineering Works</v>
      </c>
      <c r="F28" s="16" t="s">
        <v>220</v>
      </c>
      <c r="G28" s="13" t="str">
        <f>+VLOOKUP(F28,'Stock Statement'!$A$3:$B$138,2,FALSE)</f>
        <v>HST Black 6mm</v>
      </c>
      <c r="H28" s="13">
        <v>400</v>
      </c>
      <c r="I28" s="28" t="str">
        <f>+VLOOKUP(F28,'Stock Statement'!$A$3:$I$138,9,FALSE)</f>
        <v>MTRS</v>
      </c>
      <c r="J28" s="29">
        <v>6.8</v>
      </c>
      <c r="K28" s="30">
        <f t="shared" si="0"/>
        <v>2720</v>
      </c>
      <c r="L28" s="31">
        <v>0</v>
      </c>
      <c r="M28" s="30">
        <f t="shared" si="1"/>
        <v>2720</v>
      </c>
      <c r="N28" s="30">
        <f t="shared" si="8"/>
        <v>244.8</v>
      </c>
      <c r="O28" s="30">
        <f t="shared" si="9"/>
        <v>244.8</v>
      </c>
      <c r="P28" s="30">
        <f t="shared" si="4"/>
        <v>0</v>
      </c>
      <c r="Q28" s="30">
        <v>0.4</v>
      </c>
      <c r="R28" s="30">
        <f t="shared" si="5"/>
        <v>3210</v>
      </c>
      <c r="S28" s="12" t="s">
        <v>528</v>
      </c>
      <c r="T28" s="41">
        <v>45187</v>
      </c>
      <c r="U28" s="30">
        <v>3210</v>
      </c>
      <c r="V28" s="30">
        <f t="shared" si="6"/>
        <v>0</v>
      </c>
      <c r="W28" s="30"/>
      <c r="X28" s="42" t="str">
        <f>IF(U28&gt;V28,"Complete",C28+60)</f>
        <v>Complete</v>
      </c>
    </row>
    <row r="29" ht="13.8" spans="1:24">
      <c r="A29" s="12">
        <v>24</v>
      </c>
      <c r="B29" s="13" t="s">
        <v>539</v>
      </c>
      <c r="C29" s="14">
        <v>45479</v>
      </c>
      <c r="D29" s="15">
        <v>8</v>
      </c>
      <c r="E29" s="16" t="str">
        <f>+VLOOKUP(D29,'Party Master'!$A$2:$B$170,2,FALSE)</f>
        <v>ABD Engineering Works</v>
      </c>
      <c r="F29" s="16" t="s">
        <v>252</v>
      </c>
      <c r="G29" s="13" t="str">
        <f>+VLOOKUP(F29,'Stock Statement'!$A$3:$B$138,2,FALSE)</f>
        <v>HST Black 7.9mm with Adhessive</v>
      </c>
      <c r="H29" s="13">
        <v>500</v>
      </c>
      <c r="I29" s="28" t="str">
        <f>+VLOOKUP(F29,'Stock Statement'!$A$3:$I$138,9,FALSE)</f>
        <v>MTRS</v>
      </c>
      <c r="J29" s="29">
        <v>29.5</v>
      </c>
      <c r="K29" s="30">
        <f t="shared" si="0"/>
        <v>14750</v>
      </c>
      <c r="L29" s="31">
        <v>0</v>
      </c>
      <c r="M29" s="30">
        <f t="shared" si="1"/>
        <v>14750</v>
      </c>
      <c r="N29" s="30">
        <f t="shared" si="8"/>
        <v>1327.5</v>
      </c>
      <c r="O29" s="30">
        <f t="shared" si="9"/>
        <v>1327.5</v>
      </c>
      <c r="P29" s="30">
        <f t="shared" si="4"/>
        <v>0</v>
      </c>
      <c r="Q29" s="30"/>
      <c r="R29" s="30">
        <f t="shared" si="5"/>
        <v>17405</v>
      </c>
      <c r="S29" s="12" t="s">
        <v>528</v>
      </c>
      <c r="T29" s="41">
        <v>45187</v>
      </c>
      <c r="U29" s="30">
        <v>17405</v>
      </c>
      <c r="V29" s="30">
        <f t="shared" si="6"/>
        <v>0</v>
      </c>
      <c r="W29" s="30"/>
      <c r="X29" s="42" t="str">
        <f>IF(U29&gt;V29,"Complete",C29+60)</f>
        <v>Complete</v>
      </c>
    </row>
    <row r="30" ht="13.8" spans="1:24">
      <c r="A30" s="12">
        <v>24</v>
      </c>
      <c r="B30" s="13" t="s">
        <v>539</v>
      </c>
      <c r="C30" s="14">
        <v>45479</v>
      </c>
      <c r="D30" s="15">
        <v>8</v>
      </c>
      <c r="E30" s="16" t="str">
        <f>+VLOOKUP(D30,'Party Master'!$A$2:$B$170,2,FALSE)</f>
        <v>ABD Engineering Works</v>
      </c>
      <c r="F30" s="16" t="s">
        <v>341</v>
      </c>
      <c r="G30" s="13" t="str">
        <f>+VLOOKUP(F30,'Stock Statement'!$A$3:$B$138,2,FALSE)</f>
        <v>Spiral Tube 12mm</v>
      </c>
      <c r="H30" s="13">
        <v>75</v>
      </c>
      <c r="I30" s="28" t="str">
        <f>+VLOOKUP(F30,'Stock Statement'!$A$3:$I$138,9,FALSE)</f>
        <v>MTRS</v>
      </c>
      <c r="J30" s="29">
        <v>13.5</v>
      </c>
      <c r="K30" s="30">
        <f t="shared" si="0"/>
        <v>1012.5</v>
      </c>
      <c r="L30" s="31">
        <v>0</v>
      </c>
      <c r="M30" s="30">
        <f t="shared" si="1"/>
        <v>1012.5</v>
      </c>
      <c r="N30" s="30">
        <f t="shared" si="8"/>
        <v>91.125</v>
      </c>
      <c r="O30" s="30">
        <f t="shared" si="9"/>
        <v>91.125</v>
      </c>
      <c r="P30" s="30">
        <f t="shared" si="4"/>
        <v>0</v>
      </c>
      <c r="Q30" s="30">
        <v>0.25</v>
      </c>
      <c r="R30" s="30">
        <f t="shared" si="5"/>
        <v>1195</v>
      </c>
      <c r="S30" s="12" t="s">
        <v>528</v>
      </c>
      <c r="T30" s="41">
        <v>45187</v>
      </c>
      <c r="U30" s="30">
        <v>1195</v>
      </c>
      <c r="V30" s="30">
        <f t="shared" si="6"/>
        <v>0</v>
      </c>
      <c r="W30" s="30"/>
      <c r="X30" s="42" t="str">
        <f>IF(U30&gt;V30,"Complete",C30+60)</f>
        <v>Complete</v>
      </c>
    </row>
    <row r="31" ht="13.8" spans="1:24">
      <c r="A31" s="12">
        <v>25</v>
      </c>
      <c r="B31" s="13" t="s">
        <v>540</v>
      </c>
      <c r="C31" s="14">
        <v>45484</v>
      </c>
      <c r="D31" s="15">
        <v>15</v>
      </c>
      <c r="E31" s="16" t="str">
        <f>+VLOOKUP(D31,'Party Master'!$A$2:$B$170,2,FALSE)</f>
        <v>BNO Wiring Technologies</v>
      </c>
      <c r="F31" s="17" t="s">
        <v>230</v>
      </c>
      <c r="G31" s="13" t="str">
        <f>+VLOOKUP(F31,'Stock Statement'!$A$3:$B$138,2,FALSE)</f>
        <v>HST Black 18mm </v>
      </c>
      <c r="H31" s="13">
        <v>100</v>
      </c>
      <c r="I31" s="28" t="str">
        <f>+VLOOKUP(F31,'Stock Statement'!$A$3:$I$138,9,FALSE)</f>
        <v>MTRS</v>
      </c>
      <c r="J31" s="29">
        <v>25</v>
      </c>
      <c r="K31" s="30">
        <f t="shared" si="0"/>
        <v>2500</v>
      </c>
      <c r="L31" s="31">
        <v>0</v>
      </c>
      <c r="M31" s="30">
        <f t="shared" si="1"/>
        <v>2500</v>
      </c>
      <c r="N31" s="30">
        <f t="shared" si="8"/>
        <v>225</v>
      </c>
      <c r="O31" s="30">
        <f t="shared" si="9"/>
        <v>225</v>
      </c>
      <c r="P31" s="30">
        <f t="shared" si="4"/>
        <v>0</v>
      </c>
      <c r="Q31" s="30"/>
      <c r="R31" s="30">
        <f t="shared" si="5"/>
        <v>2950</v>
      </c>
      <c r="S31" s="12" t="s">
        <v>528</v>
      </c>
      <c r="T31" s="41">
        <v>45161</v>
      </c>
      <c r="U31" s="30">
        <v>2950</v>
      </c>
      <c r="V31" s="30">
        <f t="shared" si="6"/>
        <v>0</v>
      </c>
      <c r="W31" s="30">
        <v>150</v>
      </c>
      <c r="X31" s="42" t="str">
        <f t="shared" ref="X31:X39" si="10">IF(U31&gt;V31,"Complete",C31+30)</f>
        <v>Complete</v>
      </c>
    </row>
    <row r="32" ht="13.8" spans="1:24">
      <c r="A32" s="12">
        <v>27</v>
      </c>
      <c r="B32" s="13" t="s">
        <v>541</v>
      </c>
      <c r="C32" s="14">
        <v>45493</v>
      </c>
      <c r="D32" s="15">
        <v>15</v>
      </c>
      <c r="E32" s="16" t="str">
        <f>+VLOOKUP(D32,'Party Master'!$A$2:$B$170,2,FALSE)</f>
        <v>BNO Wiring Technologies</v>
      </c>
      <c r="F32" s="16" t="s">
        <v>324</v>
      </c>
      <c r="G32" s="13" t="str">
        <f>+VLOOKUP(F32,'Stock Statement'!$A$3:$B$138,2,FALSE)</f>
        <v>Indrayani Industrial Suppliers</v>
      </c>
      <c r="H32" s="13">
        <v>20</v>
      </c>
      <c r="I32" s="28" t="str">
        <f>+VLOOKUP(F32,'Stock Statement'!$A$3:$I$138,9,FALSE)</f>
        <v>Ltrs</v>
      </c>
      <c r="J32" s="29">
        <v>250</v>
      </c>
      <c r="K32" s="30">
        <f t="shared" si="0"/>
        <v>5000</v>
      </c>
      <c r="L32" s="31">
        <v>0</v>
      </c>
      <c r="M32" s="30">
        <f t="shared" si="1"/>
        <v>5000</v>
      </c>
      <c r="N32" s="30">
        <f t="shared" si="8"/>
        <v>450</v>
      </c>
      <c r="O32" s="30">
        <f t="shared" si="9"/>
        <v>450</v>
      </c>
      <c r="P32" s="30">
        <f t="shared" si="4"/>
        <v>0</v>
      </c>
      <c r="Q32" s="30"/>
      <c r="R32" s="30">
        <f t="shared" si="5"/>
        <v>5900</v>
      </c>
      <c r="S32" s="12" t="s">
        <v>528</v>
      </c>
      <c r="T32" s="41">
        <v>45161</v>
      </c>
      <c r="U32" s="30">
        <v>5900</v>
      </c>
      <c r="V32" s="30">
        <f t="shared" si="6"/>
        <v>0</v>
      </c>
      <c r="W32" s="30">
        <v>150</v>
      </c>
      <c r="X32" s="42" t="str">
        <f t="shared" si="10"/>
        <v>Complete</v>
      </c>
    </row>
    <row r="33" s="3" customFormat="1" ht="13.8" spans="1:24">
      <c r="A33" s="12">
        <v>28</v>
      </c>
      <c r="B33" s="13" t="s">
        <v>542</v>
      </c>
      <c r="C33" s="14">
        <v>45497</v>
      </c>
      <c r="D33" s="15">
        <v>15</v>
      </c>
      <c r="E33" s="16" t="str">
        <f>+VLOOKUP(D33,'Party Master'!$A$2:$B$170,2,FALSE)</f>
        <v>BNO Wiring Technologies</v>
      </c>
      <c r="F33" s="16" t="s">
        <v>332</v>
      </c>
      <c r="G33" s="13" t="str">
        <f>+VLOOKUP(F33,'Stock Statement'!$A$3:$B$138,2,FALSE)</f>
        <v>Solder Wire </v>
      </c>
      <c r="H33" s="13">
        <v>2</v>
      </c>
      <c r="I33" s="28" t="str">
        <f>+VLOOKUP(F33,'Stock Statement'!$A$3:$I$138,9,FALSE)</f>
        <v>KGS</v>
      </c>
      <c r="J33" s="29">
        <v>2000</v>
      </c>
      <c r="K33" s="30">
        <f t="shared" si="0"/>
        <v>4000</v>
      </c>
      <c r="L33" s="31">
        <v>0</v>
      </c>
      <c r="M33" s="30">
        <f t="shared" si="1"/>
        <v>4000</v>
      </c>
      <c r="N33" s="30">
        <f t="shared" si="8"/>
        <v>360</v>
      </c>
      <c r="O33" s="30">
        <f t="shared" si="9"/>
        <v>360</v>
      </c>
      <c r="P33" s="30">
        <f t="shared" si="4"/>
        <v>0</v>
      </c>
      <c r="Q33" s="30"/>
      <c r="R33" s="30">
        <f t="shared" si="5"/>
        <v>4720</v>
      </c>
      <c r="S33" s="12" t="s">
        <v>528</v>
      </c>
      <c r="T33" s="41">
        <v>45209</v>
      </c>
      <c r="U33" s="30">
        <v>4720</v>
      </c>
      <c r="V33" s="30">
        <f t="shared" si="6"/>
        <v>0</v>
      </c>
      <c r="W33" s="30">
        <v>150</v>
      </c>
      <c r="X33" s="42" t="str">
        <f t="shared" si="10"/>
        <v>Complete</v>
      </c>
    </row>
    <row r="34" s="3" customFormat="1" ht="13.8" spans="1:24">
      <c r="A34" s="12">
        <v>28</v>
      </c>
      <c r="B34" s="13" t="s">
        <v>542</v>
      </c>
      <c r="C34" s="14">
        <v>45497</v>
      </c>
      <c r="D34" s="15">
        <v>15</v>
      </c>
      <c r="E34" s="16" t="str">
        <f>+VLOOKUP(D34,'Party Master'!$A$2:$B$170,2,FALSE)</f>
        <v>BNO Wiring Technologies</v>
      </c>
      <c r="F34" s="16" t="s">
        <v>330</v>
      </c>
      <c r="G34" s="13" t="str">
        <f>+VLOOKUP(F34,'Stock Statement'!$A$3:$B$138,2,FALSE)</f>
        <v>Solder Rod 63/37</v>
      </c>
      <c r="H34" s="13">
        <v>2</v>
      </c>
      <c r="I34" s="28" t="str">
        <f>+VLOOKUP(F34,'Stock Statement'!$A$3:$I$138,9,FALSE)</f>
        <v>KGS</v>
      </c>
      <c r="J34" s="29">
        <v>2000</v>
      </c>
      <c r="K34" s="30">
        <f t="shared" si="0"/>
        <v>4000</v>
      </c>
      <c r="L34" s="31">
        <v>0</v>
      </c>
      <c r="M34" s="30">
        <f t="shared" si="1"/>
        <v>4000</v>
      </c>
      <c r="N34" s="30">
        <f t="shared" si="8"/>
        <v>360</v>
      </c>
      <c r="O34" s="30">
        <f t="shared" si="9"/>
        <v>360</v>
      </c>
      <c r="P34" s="30">
        <f t="shared" si="4"/>
        <v>0</v>
      </c>
      <c r="Q34" s="30"/>
      <c r="R34" s="30">
        <f t="shared" si="5"/>
        <v>4720</v>
      </c>
      <c r="S34" s="12" t="s">
        <v>528</v>
      </c>
      <c r="T34" s="41">
        <v>45209</v>
      </c>
      <c r="U34" s="30">
        <v>4720</v>
      </c>
      <c r="V34" s="30">
        <f t="shared" si="6"/>
        <v>0</v>
      </c>
      <c r="W34" s="30"/>
      <c r="X34" s="42" t="str">
        <f t="shared" si="10"/>
        <v>Complete</v>
      </c>
    </row>
    <row r="35" s="3" customFormat="1" ht="13.8" spans="1:24">
      <c r="A35" s="12">
        <v>28</v>
      </c>
      <c r="B35" s="13" t="s">
        <v>542</v>
      </c>
      <c r="C35" s="14">
        <v>45497</v>
      </c>
      <c r="D35" s="15">
        <v>15</v>
      </c>
      <c r="E35" s="16" t="str">
        <f>+VLOOKUP(D35,'Party Master'!$A$2:$B$170,2,FALSE)</f>
        <v>BNO Wiring Technologies</v>
      </c>
      <c r="F35" s="16" t="s">
        <v>379</v>
      </c>
      <c r="G35" s="13" t="str">
        <f>+VLOOKUP(F35,'Stock Statement'!$A$3:$B$138,2,FALSE)</f>
        <v>VFG F-Class White 4mm</v>
      </c>
      <c r="H35" s="13">
        <v>500</v>
      </c>
      <c r="I35" s="28" t="str">
        <f>+VLOOKUP(F35,'Stock Statement'!$A$3:$I$138,9,FALSE)</f>
        <v>MTRS</v>
      </c>
      <c r="J35" s="29">
        <v>4.8</v>
      </c>
      <c r="K35" s="30">
        <f t="shared" si="0"/>
        <v>2400</v>
      </c>
      <c r="L35" s="31">
        <v>0</v>
      </c>
      <c r="M35" s="30">
        <f t="shared" si="1"/>
        <v>2400</v>
      </c>
      <c r="N35" s="30">
        <f t="shared" si="8"/>
        <v>216</v>
      </c>
      <c r="O35" s="30">
        <f t="shared" si="9"/>
        <v>216</v>
      </c>
      <c r="P35" s="30">
        <f t="shared" si="4"/>
        <v>0</v>
      </c>
      <c r="Q35" s="30"/>
      <c r="R35" s="30">
        <f t="shared" si="5"/>
        <v>2832</v>
      </c>
      <c r="S35" s="12" t="s">
        <v>528</v>
      </c>
      <c r="T35" s="41">
        <v>45209</v>
      </c>
      <c r="U35" s="30">
        <v>2832</v>
      </c>
      <c r="V35" s="30">
        <f t="shared" si="6"/>
        <v>0</v>
      </c>
      <c r="W35" s="30"/>
      <c r="X35" s="42" t="str">
        <f t="shared" si="10"/>
        <v>Complete</v>
      </c>
    </row>
    <row r="36" s="3" customFormat="1" ht="13.8" spans="1:24">
      <c r="A36" s="12">
        <v>28</v>
      </c>
      <c r="B36" s="13" t="s">
        <v>542</v>
      </c>
      <c r="C36" s="14">
        <v>45497</v>
      </c>
      <c r="D36" s="15">
        <v>15</v>
      </c>
      <c r="E36" s="16" t="str">
        <f>+VLOOKUP(D36,'Party Master'!$A$2:$B$170,2,FALSE)</f>
        <v>BNO Wiring Technologies</v>
      </c>
      <c r="F36" s="16" t="s">
        <v>377</v>
      </c>
      <c r="G36" s="13" t="str">
        <f>+VLOOKUP(F36,'Stock Statement'!$A$3:$B$138,2,FALSE)</f>
        <v>VFG F-Class White 3mm</v>
      </c>
      <c r="H36" s="13">
        <v>500</v>
      </c>
      <c r="I36" s="28" t="str">
        <f>+VLOOKUP(F36,'Stock Statement'!$A$3:$I$138,9,FALSE)</f>
        <v>MTRS</v>
      </c>
      <c r="J36" s="29">
        <v>3.8</v>
      </c>
      <c r="K36" s="30">
        <f t="shared" si="0"/>
        <v>1900</v>
      </c>
      <c r="L36" s="31">
        <v>0</v>
      </c>
      <c r="M36" s="30">
        <f t="shared" si="1"/>
        <v>1900</v>
      </c>
      <c r="N36" s="30">
        <f t="shared" si="8"/>
        <v>171</v>
      </c>
      <c r="O36" s="30">
        <f t="shared" si="9"/>
        <v>171</v>
      </c>
      <c r="P36" s="30">
        <f t="shared" si="4"/>
        <v>0</v>
      </c>
      <c r="Q36" s="30"/>
      <c r="R36" s="30">
        <f t="shared" si="5"/>
        <v>2242</v>
      </c>
      <c r="S36" s="12" t="s">
        <v>528</v>
      </c>
      <c r="T36" s="41">
        <v>45209</v>
      </c>
      <c r="U36" s="30">
        <v>2242</v>
      </c>
      <c r="V36" s="30">
        <f t="shared" si="6"/>
        <v>0</v>
      </c>
      <c r="W36" s="30"/>
      <c r="X36" s="42" t="str">
        <f t="shared" si="10"/>
        <v>Complete</v>
      </c>
    </row>
    <row r="37" s="3" customFormat="1" ht="13.8" spans="1:24">
      <c r="A37" s="12">
        <v>30</v>
      </c>
      <c r="B37" s="13" t="s">
        <v>543</v>
      </c>
      <c r="C37" s="14">
        <v>45503</v>
      </c>
      <c r="D37" s="15">
        <v>15</v>
      </c>
      <c r="E37" s="16" t="str">
        <f>+VLOOKUP(D37,'Party Master'!$A$2:$B$170,2,FALSE)</f>
        <v>BNO Wiring Technologies</v>
      </c>
      <c r="F37" s="16" t="s">
        <v>321</v>
      </c>
      <c r="G37" s="13" t="str">
        <f>+VLOOKUP(F37,'Stock Statement'!$A$3:$B$138,2,FALSE)</f>
        <v>Solder Flux NC400</v>
      </c>
      <c r="H37" s="13">
        <v>20</v>
      </c>
      <c r="I37" s="28" t="str">
        <f>+VLOOKUP(F37,'Stock Statement'!$A$3:$I$138,9,FALSE)</f>
        <v>Ltrs</v>
      </c>
      <c r="J37" s="29">
        <v>340</v>
      </c>
      <c r="K37" s="30">
        <f t="shared" si="0"/>
        <v>6800</v>
      </c>
      <c r="L37" s="31">
        <v>0</v>
      </c>
      <c r="M37" s="30">
        <f t="shared" si="1"/>
        <v>6800</v>
      </c>
      <c r="N37" s="30">
        <f t="shared" si="8"/>
        <v>612</v>
      </c>
      <c r="O37" s="30">
        <f t="shared" si="9"/>
        <v>612</v>
      </c>
      <c r="P37" s="30">
        <f t="shared" si="4"/>
        <v>0</v>
      </c>
      <c r="Q37" s="30"/>
      <c r="R37" s="30">
        <f t="shared" si="5"/>
        <v>8024</v>
      </c>
      <c r="S37" s="12" t="s">
        <v>528</v>
      </c>
      <c r="T37" s="41">
        <v>45209</v>
      </c>
      <c r="U37" s="30">
        <v>8024</v>
      </c>
      <c r="V37" s="30">
        <f t="shared" si="6"/>
        <v>0</v>
      </c>
      <c r="W37" s="30">
        <v>150</v>
      </c>
      <c r="X37" s="42" t="str">
        <f t="shared" si="10"/>
        <v>Complete</v>
      </c>
    </row>
    <row r="38" s="3" customFormat="1" ht="13.8" spans="1:24">
      <c r="A38" s="12">
        <v>30</v>
      </c>
      <c r="B38" s="13" t="s">
        <v>543</v>
      </c>
      <c r="C38" s="14">
        <v>45503</v>
      </c>
      <c r="D38" s="15">
        <v>15</v>
      </c>
      <c r="E38" s="16" t="str">
        <f>+VLOOKUP(D38,'Party Master'!$A$2:$B$170,2,FALSE)</f>
        <v>BNO Wiring Technologies</v>
      </c>
      <c r="F38" s="16" t="s">
        <v>379</v>
      </c>
      <c r="G38" s="13" t="str">
        <f>+VLOOKUP(F38,'Stock Statement'!$A$3:$B$138,2,FALSE)</f>
        <v>VFG F-Class White 4mm</v>
      </c>
      <c r="H38" s="13">
        <v>500</v>
      </c>
      <c r="I38" s="28" t="str">
        <f>+VLOOKUP(F38,'Stock Statement'!$A$3:$I$138,9,FALSE)</f>
        <v>MTRS</v>
      </c>
      <c r="J38" s="29">
        <v>4.8</v>
      </c>
      <c r="K38" s="30">
        <f t="shared" si="0"/>
        <v>2400</v>
      </c>
      <c r="L38" s="31">
        <v>0</v>
      </c>
      <c r="M38" s="30">
        <f t="shared" si="1"/>
        <v>2400</v>
      </c>
      <c r="N38" s="30">
        <f t="shared" si="8"/>
        <v>216</v>
      </c>
      <c r="O38" s="30">
        <f t="shared" si="9"/>
        <v>216</v>
      </c>
      <c r="P38" s="30">
        <f t="shared" si="4"/>
        <v>0</v>
      </c>
      <c r="Q38" s="30"/>
      <c r="R38" s="30">
        <f t="shared" si="5"/>
        <v>2832</v>
      </c>
      <c r="S38" s="12" t="s">
        <v>528</v>
      </c>
      <c r="T38" s="41">
        <v>45209</v>
      </c>
      <c r="U38" s="30">
        <v>2832</v>
      </c>
      <c r="V38" s="30">
        <f t="shared" si="6"/>
        <v>0</v>
      </c>
      <c r="W38" s="30"/>
      <c r="X38" s="42" t="str">
        <f t="shared" si="10"/>
        <v>Complete</v>
      </c>
    </row>
    <row r="39" s="3" customFormat="1" ht="13.8" spans="1:24">
      <c r="A39" s="12">
        <v>30</v>
      </c>
      <c r="B39" s="13" t="s">
        <v>543</v>
      </c>
      <c r="C39" s="14">
        <v>45503</v>
      </c>
      <c r="D39" s="15">
        <v>15</v>
      </c>
      <c r="E39" s="16" t="str">
        <f>+VLOOKUP(D39,'Party Master'!$A$2:$B$170,2,FALSE)</f>
        <v>BNO Wiring Technologies</v>
      </c>
      <c r="F39" s="16" t="s">
        <v>375</v>
      </c>
      <c r="G39" s="13" t="str">
        <f>+VLOOKUP(F39,'Stock Statement'!$A$3:$B$138,2,FALSE)</f>
        <v>VFG F-Class White 2mm</v>
      </c>
      <c r="H39" s="13">
        <v>600</v>
      </c>
      <c r="I39" s="28" t="str">
        <f>+VLOOKUP(F39,'Stock Statement'!$A$3:$I$138,9,FALSE)</f>
        <v>MTRS</v>
      </c>
      <c r="J39" s="29">
        <v>3</v>
      </c>
      <c r="K39" s="30">
        <f t="shared" si="0"/>
        <v>1800</v>
      </c>
      <c r="L39" s="31">
        <v>0</v>
      </c>
      <c r="M39" s="30">
        <f t="shared" si="1"/>
        <v>1800</v>
      </c>
      <c r="N39" s="30">
        <f t="shared" si="8"/>
        <v>162</v>
      </c>
      <c r="O39" s="30">
        <f t="shared" si="9"/>
        <v>162</v>
      </c>
      <c r="P39" s="30">
        <f t="shared" si="4"/>
        <v>0</v>
      </c>
      <c r="Q39" s="30"/>
      <c r="R39" s="30">
        <f t="shared" si="5"/>
        <v>2124</v>
      </c>
      <c r="S39" s="12" t="s">
        <v>528</v>
      </c>
      <c r="T39" s="41">
        <v>45209</v>
      </c>
      <c r="U39" s="30">
        <v>2124</v>
      </c>
      <c r="V39" s="30">
        <f t="shared" si="6"/>
        <v>0</v>
      </c>
      <c r="W39" s="30">
        <v>150</v>
      </c>
      <c r="X39" s="42" t="str">
        <f t="shared" si="10"/>
        <v>Complete</v>
      </c>
    </row>
    <row r="40" ht="13.8" spans="1:24">
      <c r="A40" s="12">
        <v>31</v>
      </c>
      <c r="B40" s="13" t="s">
        <v>544</v>
      </c>
      <c r="C40" s="14">
        <v>45506</v>
      </c>
      <c r="D40" s="15">
        <v>8</v>
      </c>
      <c r="E40" s="16" t="str">
        <f>+VLOOKUP(D40,'Party Master'!$A$2:$B$170,2,FALSE)</f>
        <v>ABD Engineering Works</v>
      </c>
      <c r="F40" s="16" t="s">
        <v>224</v>
      </c>
      <c r="G40" s="13" t="str">
        <f>+VLOOKUP(F40,'Stock Statement'!$A$3:$B$138,2,FALSE)</f>
        <v>HST Black 8mm</v>
      </c>
      <c r="H40" s="13">
        <v>2600</v>
      </c>
      <c r="I40" s="28" t="str">
        <f>+VLOOKUP(F40,'Stock Statement'!$A$3:$I$138,9,FALSE)</f>
        <v>MTRS</v>
      </c>
      <c r="J40" s="29">
        <v>6.65</v>
      </c>
      <c r="K40" s="30">
        <f t="shared" si="0"/>
        <v>17290</v>
      </c>
      <c r="L40" s="31">
        <v>0</v>
      </c>
      <c r="M40" s="30">
        <f t="shared" si="1"/>
        <v>17290</v>
      </c>
      <c r="N40" s="30">
        <f t="shared" si="8"/>
        <v>1556.1</v>
      </c>
      <c r="O40" s="30">
        <f t="shared" si="9"/>
        <v>1556.1</v>
      </c>
      <c r="P40" s="30">
        <f t="shared" si="4"/>
        <v>0</v>
      </c>
      <c r="Q40" s="30">
        <v>-0.2</v>
      </c>
      <c r="R40" s="30">
        <f t="shared" si="5"/>
        <v>20402</v>
      </c>
      <c r="S40" s="12" t="s">
        <v>528</v>
      </c>
      <c r="T40" s="41">
        <v>45234</v>
      </c>
      <c r="U40" s="30">
        <v>20402</v>
      </c>
      <c r="V40" s="30">
        <f t="shared" si="6"/>
        <v>0</v>
      </c>
      <c r="W40" s="30">
        <v>600</v>
      </c>
      <c r="X40" s="42" t="str">
        <f>IF(U40&gt;V40,"Complete",C40+60)</f>
        <v>Complete</v>
      </c>
    </row>
    <row r="41" ht="13.8" spans="1:24">
      <c r="A41" s="12">
        <v>32</v>
      </c>
      <c r="B41" s="13" t="s">
        <v>545</v>
      </c>
      <c r="C41" s="14">
        <v>45513</v>
      </c>
      <c r="D41" s="15">
        <v>8</v>
      </c>
      <c r="E41" s="16" t="str">
        <f>+VLOOKUP(D41,'Party Master'!$A$2:$B$170,2,FALSE)</f>
        <v>ABD Engineering Works</v>
      </c>
      <c r="F41" s="16" t="s">
        <v>226</v>
      </c>
      <c r="G41" s="13" t="str">
        <f>+VLOOKUP(F41,'Stock Statement'!$A$3:$B$138,2,FALSE)</f>
        <v>HST Black 10mm</v>
      </c>
      <c r="H41" s="13">
        <v>1100</v>
      </c>
      <c r="I41" s="28" t="str">
        <f>+VLOOKUP(F41,'Stock Statement'!$A$3:$I$138,9,FALSE)</f>
        <v>MTRS</v>
      </c>
      <c r="J41" s="29">
        <v>7.95</v>
      </c>
      <c r="K41" s="30">
        <f t="shared" si="0"/>
        <v>8745</v>
      </c>
      <c r="L41" s="31">
        <v>0</v>
      </c>
      <c r="M41" s="30">
        <f t="shared" si="1"/>
        <v>8745</v>
      </c>
      <c r="N41" s="30">
        <f t="shared" si="8"/>
        <v>787.05</v>
      </c>
      <c r="O41" s="30">
        <f t="shared" si="9"/>
        <v>787.05</v>
      </c>
      <c r="P41" s="30">
        <f t="shared" si="4"/>
        <v>0</v>
      </c>
      <c r="Q41" s="30">
        <v>-0.1</v>
      </c>
      <c r="R41" s="30">
        <f t="shared" si="5"/>
        <v>10319</v>
      </c>
      <c r="S41" s="12" t="s">
        <v>528</v>
      </c>
      <c r="T41" s="41">
        <v>45234</v>
      </c>
      <c r="U41" s="30">
        <v>10319</v>
      </c>
      <c r="V41" s="30">
        <f t="shared" si="6"/>
        <v>0</v>
      </c>
      <c r="W41" s="30">
        <v>150</v>
      </c>
      <c r="X41" s="42" t="str">
        <f>IF(U41&gt;V41,"Complete",C41+60)</f>
        <v>Complete</v>
      </c>
    </row>
    <row r="42" s="3" customFormat="1" ht="13.8" spans="1:24">
      <c r="A42" s="12">
        <v>35</v>
      </c>
      <c r="B42" s="13" t="s">
        <v>546</v>
      </c>
      <c r="C42" s="14">
        <v>45522</v>
      </c>
      <c r="D42" s="15">
        <v>15</v>
      </c>
      <c r="E42" s="16" t="str">
        <f>+VLOOKUP(D42,'Party Master'!$A$2:$B$170,2,FALSE)</f>
        <v>BNO Wiring Technologies</v>
      </c>
      <c r="F42" s="16" t="s">
        <v>163</v>
      </c>
      <c r="G42" s="13" t="str">
        <f>+VLOOKUP(F42,'Stock Statement'!$A$3:$B$138,2,FALSE)</f>
        <v>Double Sided Foam Tape 20mmX5M</v>
      </c>
      <c r="H42" s="13">
        <v>209</v>
      </c>
      <c r="I42" s="28" t="str">
        <f>+VLOOKUP(F42,'Stock Statement'!$A$3:$I$138,9,FALSE)</f>
        <v>NOS</v>
      </c>
      <c r="J42" s="29">
        <v>16</v>
      </c>
      <c r="K42" s="30">
        <f t="shared" si="0"/>
        <v>3344</v>
      </c>
      <c r="L42" s="31">
        <v>0</v>
      </c>
      <c r="M42" s="30">
        <f t="shared" si="1"/>
        <v>3344</v>
      </c>
      <c r="N42" s="30">
        <f t="shared" si="8"/>
        <v>300.96</v>
      </c>
      <c r="O42" s="30">
        <f t="shared" si="9"/>
        <v>300.96</v>
      </c>
      <c r="P42" s="30">
        <f t="shared" si="4"/>
        <v>0</v>
      </c>
      <c r="Q42" s="30">
        <v>0.08</v>
      </c>
      <c r="R42" s="30">
        <f t="shared" si="5"/>
        <v>3946</v>
      </c>
      <c r="S42" s="12" t="s">
        <v>528</v>
      </c>
      <c r="T42" s="41">
        <v>45209</v>
      </c>
      <c r="U42" s="30">
        <v>3946</v>
      </c>
      <c r="V42" s="30">
        <f t="shared" si="6"/>
        <v>0</v>
      </c>
      <c r="W42" s="30">
        <v>150</v>
      </c>
      <c r="X42" s="42" t="str">
        <f>IF(U42&gt;V42,"Complete",C42+30)</f>
        <v>Complete</v>
      </c>
    </row>
    <row r="43" ht="13.8" spans="1:24">
      <c r="A43" s="12">
        <v>36</v>
      </c>
      <c r="B43" s="13" t="s">
        <v>547</v>
      </c>
      <c r="C43" s="14">
        <v>45525</v>
      </c>
      <c r="D43" s="15">
        <v>7</v>
      </c>
      <c r="E43" s="16" t="str">
        <f>+VLOOKUP(D43,'Party Master'!$A$2:$B$170,2,FALSE)</f>
        <v>UVW SwitchGears &amp; Transformers Pvt Ltd</v>
      </c>
      <c r="F43" s="16" t="s">
        <v>158</v>
      </c>
      <c r="G43" s="13" t="str">
        <f>+VLOOKUP(F43,'Stock Statement'!$A$3:$B$138,2,FALSE)</f>
        <v>CRAPE PAPER BROWN 4mil 1 Inch</v>
      </c>
      <c r="H43" s="13">
        <v>28</v>
      </c>
      <c r="I43" s="28" t="str">
        <f>+VLOOKUP(F43,'Stock Statement'!$A$3:$I$138,9,FALSE)</f>
        <v>KGS</v>
      </c>
      <c r="J43" s="29">
        <v>255</v>
      </c>
      <c r="K43" s="30">
        <f t="shared" si="0"/>
        <v>7140</v>
      </c>
      <c r="L43" s="31">
        <v>0</v>
      </c>
      <c r="M43" s="30">
        <f t="shared" si="1"/>
        <v>7140</v>
      </c>
      <c r="N43" s="30">
        <f>+M43*6%</f>
        <v>428.4</v>
      </c>
      <c r="O43" s="30">
        <f>+M43*6%</f>
        <v>428.4</v>
      </c>
      <c r="P43" s="30">
        <f t="shared" si="4"/>
        <v>0</v>
      </c>
      <c r="Q43" s="30">
        <v>0.2</v>
      </c>
      <c r="R43" s="30">
        <f t="shared" si="5"/>
        <v>7997</v>
      </c>
      <c r="S43" s="43" t="s">
        <v>528</v>
      </c>
      <c r="T43" s="41">
        <v>45218</v>
      </c>
      <c r="U43" s="30">
        <v>7997</v>
      </c>
      <c r="V43" s="30">
        <f t="shared" si="6"/>
        <v>0</v>
      </c>
      <c r="W43" s="30">
        <v>150</v>
      </c>
      <c r="X43" s="42" t="str">
        <f>IF(U43&gt;V43,"Complete",C43+45)</f>
        <v>Complete</v>
      </c>
    </row>
    <row r="44" ht="13.8" spans="1:24">
      <c r="A44" s="12">
        <v>37</v>
      </c>
      <c r="B44" s="13" t="s">
        <v>548</v>
      </c>
      <c r="C44" s="14">
        <v>45535</v>
      </c>
      <c r="D44" s="15">
        <v>8</v>
      </c>
      <c r="E44" s="16" t="str">
        <f>+VLOOKUP(D44,'Party Master'!$A$2:$B$170,2,FALSE)</f>
        <v>ABD Engineering Works</v>
      </c>
      <c r="F44" s="16" t="s">
        <v>224</v>
      </c>
      <c r="G44" s="13" t="str">
        <f>+VLOOKUP(F44,'Stock Statement'!$A$3:$B$138,2,FALSE)</f>
        <v>HST Black 8mm</v>
      </c>
      <c r="H44" s="13">
        <v>1300</v>
      </c>
      <c r="I44" s="28" t="str">
        <f>+VLOOKUP(F44,'Stock Statement'!$A$3:$I$138,9,FALSE)</f>
        <v>MTRS</v>
      </c>
      <c r="J44" s="29">
        <v>6.65</v>
      </c>
      <c r="K44" s="30">
        <f t="shared" si="0"/>
        <v>8645</v>
      </c>
      <c r="L44" s="31">
        <v>0</v>
      </c>
      <c r="M44" s="30">
        <f t="shared" si="1"/>
        <v>8645</v>
      </c>
      <c r="N44" s="30">
        <f t="shared" ref="N44:N63" si="11">+M44*9%</f>
        <v>778.05</v>
      </c>
      <c r="O44" s="30">
        <f t="shared" ref="O44:O63" si="12">+M44*9%</f>
        <v>778.05</v>
      </c>
      <c r="P44" s="30">
        <f t="shared" si="4"/>
        <v>0</v>
      </c>
      <c r="Q44" s="30">
        <v>-0.1</v>
      </c>
      <c r="R44" s="30">
        <f t="shared" si="5"/>
        <v>10201</v>
      </c>
      <c r="S44" s="43" t="s">
        <v>528</v>
      </c>
      <c r="T44" s="41">
        <v>45292</v>
      </c>
      <c r="U44" s="30">
        <v>10201</v>
      </c>
      <c r="V44" s="30">
        <f t="shared" si="6"/>
        <v>0</v>
      </c>
      <c r="W44" s="30">
        <v>150</v>
      </c>
      <c r="X44" s="42" t="str">
        <f>IF(U44&gt;V44,"Complete",C44+60)</f>
        <v>Complete</v>
      </c>
    </row>
    <row r="45" ht="13.8" spans="1:24">
      <c r="A45" s="12">
        <v>39</v>
      </c>
      <c r="B45" s="13" t="s">
        <v>549</v>
      </c>
      <c r="C45" s="14">
        <v>45544</v>
      </c>
      <c r="D45" s="15">
        <v>15</v>
      </c>
      <c r="E45" s="16" t="str">
        <f>+VLOOKUP(D45,'Party Master'!$A$2:$B$170,2,FALSE)</f>
        <v>BNO Wiring Technologies</v>
      </c>
      <c r="F45" s="16" t="s">
        <v>332</v>
      </c>
      <c r="G45" s="13" t="str">
        <f>+VLOOKUP(F45,'Stock Statement'!$A$3:$B$138,2,FALSE)</f>
        <v>Solder Wire </v>
      </c>
      <c r="H45" s="13">
        <v>4</v>
      </c>
      <c r="I45" s="28" t="str">
        <f>+VLOOKUP(F45,'Stock Statement'!$A$3:$I$138,9,FALSE)</f>
        <v>KGS</v>
      </c>
      <c r="J45" s="29">
        <v>2000</v>
      </c>
      <c r="K45" s="30">
        <f t="shared" si="0"/>
        <v>8000</v>
      </c>
      <c r="L45" s="31">
        <v>0</v>
      </c>
      <c r="M45" s="30">
        <f t="shared" si="1"/>
        <v>8000</v>
      </c>
      <c r="N45" s="30">
        <f t="shared" si="11"/>
        <v>720</v>
      </c>
      <c r="O45" s="30">
        <f t="shared" si="12"/>
        <v>720</v>
      </c>
      <c r="P45" s="30">
        <f t="shared" si="4"/>
        <v>0</v>
      </c>
      <c r="Q45" s="30"/>
      <c r="R45" s="30">
        <f t="shared" si="5"/>
        <v>9440</v>
      </c>
      <c r="S45" s="12" t="s">
        <v>528</v>
      </c>
      <c r="T45" s="41">
        <v>45239</v>
      </c>
      <c r="U45" s="30">
        <v>9440</v>
      </c>
      <c r="V45" s="30">
        <f t="shared" si="6"/>
        <v>0</v>
      </c>
      <c r="W45" s="30">
        <v>150</v>
      </c>
      <c r="X45" s="42" t="str">
        <f>IF(U45&gt;V45,"Complete",C45+30)</f>
        <v>Complete</v>
      </c>
    </row>
    <row r="46" ht="13.8" spans="1:24">
      <c r="A46" s="12">
        <v>39</v>
      </c>
      <c r="B46" s="13" t="s">
        <v>549</v>
      </c>
      <c r="C46" s="14">
        <v>45544</v>
      </c>
      <c r="D46" s="15">
        <v>15</v>
      </c>
      <c r="E46" s="16" t="str">
        <f>+VLOOKUP(D46,'Party Master'!$A$2:$B$170,2,FALSE)</f>
        <v>BNO Wiring Technologies</v>
      </c>
      <c r="F46" s="16" t="s">
        <v>324</v>
      </c>
      <c r="G46" s="13" t="str">
        <f>+VLOOKUP(F46,'Stock Statement'!$A$3:$B$138,2,FALSE)</f>
        <v>Indrayani Industrial Suppliers</v>
      </c>
      <c r="H46" s="13">
        <v>20</v>
      </c>
      <c r="I46" s="28" t="str">
        <f>+VLOOKUP(F46,'Stock Statement'!$A$3:$I$138,9,FALSE)</f>
        <v>Ltrs</v>
      </c>
      <c r="J46" s="29">
        <v>250</v>
      </c>
      <c r="K46" s="30">
        <f t="shared" si="0"/>
        <v>5000</v>
      </c>
      <c r="L46" s="31">
        <v>0</v>
      </c>
      <c r="M46" s="30">
        <f t="shared" si="1"/>
        <v>5000</v>
      </c>
      <c r="N46" s="30">
        <f t="shared" si="11"/>
        <v>450</v>
      </c>
      <c r="O46" s="30">
        <f t="shared" si="12"/>
        <v>450</v>
      </c>
      <c r="P46" s="30">
        <f t="shared" si="4"/>
        <v>0</v>
      </c>
      <c r="Q46" s="30"/>
      <c r="R46" s="30">
        <f t="shared" si="5"/>
        <v>5900</v>
      </c>
      <c r="S46" s="12" t="s">
        <v>528</v>
      </c>
      <c r="T46" s="41">
        <v>45239</v>
      </c>
      <c r="U46" s="30">
        <v>5900</v>
      </c>
      <c r="V46" s="30">
        <f t="shared" si="6"/>
        <v>0</v>
      </c>
      <c r="W46" s="30"/>
      <c r="X46" s="42" t="str">
        <f>IF(U46&gt;V46,"Complete",C46+30)</f>
        <v>Complete</v>
      </c>
    </row>
    <row r="47" ht="13.8" spans="1:24">
      <c r="A47" s="12">
        <v>39</v>
      </c>
      <c r="B47" s="13" t="s">
        <v>549</v>
      </c>
      <c r="C47" s="14">
        <v>45544</v>
      </c>
      <c r="D47" s="15">
        <v>15</v>
      </c>
      <c r="E47" s="16" t="str">
        <f>+VLOOKUP(D47,'Party Master'!$A$2:$B$170,2,FALSE)</f>
        <v>BNO Wiring Technologies</v>
      </c>
      <c r="F47" s="16" t="s">
        <v>375</v>
      </c>
      <c r="G47" s="13" t="str">
        <f>+VLOOKUP(F47,'Stock Statement'!$A$3:$B$138,2,FALSE)</f>
        <v>VFG F-Class White 2mm</v>
      </c>
      <c r="H47" s="13">
        <v>400</v>
      </c>
      <c r="I47" s="28" t="str">
        <f>+VLOOKUP(F47,'Stock Statement'!$A$3:$I$138,9,FALSE)</f>
        <v>MTRS</v>
      </c>
      <c r="J47" s="29">
        <v>2.8</v>
      </c>
      <c r="K47" s="30">
        <f t="shared" si="0"/>
        <v>1120</v>
      </c>
      <c r="L47" s="31">
        <v>0</v>
      </c>
      <c r="M47" s="30">
        <f t="shared" si="1"/>
        <v>1120</v>
      </c>
      <c r="N47" s="30">
        <f t="shared" si="11"/>
        <v>100.8</v>
      </c>
      <c r="O47" s="30">
        <f t="shared" si="12"/>
        <v>100.8</v>
      </c>
      <c r="P47" s="30">
        <f t="shared" si="4"/>
        <v>0</v>
      </c>
      <c r="Q47" s="30"/>
      <c r="R47" s="30">
        <f t="shared" si="5"/>
        <v>1321.6</v>
      </c>
      <c r="S47" s="12" t="s">
        <v>528</v>
      </c>
      <c r="T47" s="41">
        <v>45239</v>
      </c>
      <c r="U47" s="30">
        <v>1321.6</v>
      </c>
      <c r="V47" s="30">
        <f t="shared" si="6"/>
        <v>0</v>
      </c>
      <c r="W47" s="30">
        <v>150</v>
      </c>
      <c r="X47" s="42" t="str">
        <f>IF(U47&gt;V47,"Complete",C47+30)</f>
        <v>Complete</v>
      </c>
    </row>
    <row r="48" ht="25.5" customHeight="1" spans="1:24">
      <c r="A48" s="12">
        <v>39</v>
      </c>
      <c r="B48" s="13" t="s">
        <v>549</v>
      </c>
      <c r="C48" s="14">
        <v>45544</v>
      </c>
      <c r="D48" s="15">
        <v>15</v>
      </c>
      <c r="E48" s="16" t="str">
        <f>+VLOOKUP(D48,'Party Master'!$A$2:$B$170,2,FALSE)</f>
        <v>BNO Wiring Technologies</v>
      </c>
      <c r="F48" s="16" t="s">
        <v>379</v>
      </c>
      <c r="G48" s="13" t="str">
        <f>+VLOOKUP(F48,'Stock Statement'!$A$3:$B$138,2,FALSE)</f>
        <v>VFG F-Class White 4mm</v>
      </c>
      <c r="H48" s="13">
        <v>600</v>
      </c>
      <c r="I48" s="28" t="str">
        <f>+VLOOKUP(F48,'Stock Statement'!$A$3:$I$138,9,FALSE)</f>
        <v>MTRS</v>
      </c>
      <c r="J48" s="29">
        <v>4.8</v>
      </c>
      <c r="K48" s="30">
        <f t="shared" si="0"/>
        <v>2880</v>
      </c>
      <c r="L48" s="31">
        <v>0</v>
      </c>
      <c r="M48" s="30">
        <f t="shared" si="1"/>
        <v>2880</v>
      </c>
      <c r="N48" s="30">
        <f t="shared" si="11"/>
        <v>259.2</v>
      </c>
      <c r="O48" s="30">
        <f t="shared" si="12"/>
        <v>259.2</v>
      </c>
      <c r="P48" s="30">
        <f t="shared" si="4"/>
        <v>0</v>
      </c>
      <c r="Q48" s="30"/>
      <c r="R48" s="30">
        <f t="shared" si="5"/>
        <v>3398.4</v>
      </c>
      <c r="S48" s="12" t="s">
        <v>528</v>
      </c>
      <c r="T48" s="44" t="s">
        <v>550</v>
      </c>
      <c r="U48" s="30">
        <f>3338.4+60</f>
        <v>3398.4</v>
      </c>
      <c r="V48" s="30">
        <f t="shared" si="6"/>
        <v>0</v>
      </c>
      <c r="W48" s="30"/>
      <c r="X48" s="42" t="str">
        <f>IF(U48&gt;V48,"Complete",C48+30)</f>
        <v>Complete</v>
      </c>
    </row>
    <row r="49" ht="13.8" spans="1:24">
      <c r="A49" s="12">
        <v>40</v>
      </c>
      <c r="B49" s="13" t="s">
        <v>551</v>
      </c>
      <c r="C49" s="14">
        <v>45546</v>
      </c>
      <c r="D49" s="15">
        <v>8</v>
      </c>
      <c r="E49" s="16" t="str">
        <f>+VLOOKUP(D49,'Party Master'!$A$2:$B$170,2,FALSE)</f>
        <v>ABD Engineering Works</v>
      </c>
      <c r="F49" s="16" t="s">
        <v>224</v>
      </c>
      <c r="G49" s="13" t="str">
        <f>+VLOOKUP(F49,'Stock Statement'!$A$3:$B$138,2,FALSE)</f>
        <v>HST Black 8mm</v>
      </c>
      <c r="H49" s="13">
        <v>2600</v>
      </c>
      <c r="I49" s="28" t="str">
        <f>+VLOOKUP(F49,'Stock Statement'!$A$3:$I$138,9,FALSE)</f>
        <v>MTRS</v>
      </c>
      <c r="J49" s="29">
        <v>6.65</v>
      </c>
      <c r="K49" s="30">
        <f t="shared" si="0"/>
        <v>17290</v>
      </c>
      <c r="L49" s="31">
        <v>0</v>
      </c>
      <c r="M49" s="30">
        <f t="shared" si="1"/>
        <v>17290</v>
      </c>
      <c r="N49" s="30">
        <f t="shared" si="11"/>
        <v>1556.1</v>
      </c>
      <c r="O49" s="30">
        <f t="shared" si="12"/>
        <v>1556.1</v>
      </c>
      <c r="P49" s="30">
        <f t="shared" si="4"/>
        <v>0</v>
      </c>
      <c r="Q49" s="30">
        <v>-0.2</v>
      </c>
      <c r="R49" s="30">
        <f t="shared" si="5"/>
        <v>20402</v>
      </c>
      <c r="S49" s="43" t="s">
        <v>528</v>
      </c>
      <c r="T49" s="41">
        <v>45292</v>
      </c>
      <c r="U49" s="30">
        <v>20402</v>
      </c>
      <c r="V49" s="30">
        <f t="shared" si="6"/>
        <v>0</v>
      </c>
      <c r="W49" s="30">
        <v>150</v>
      </c>
      <c r="X49" s="42" t="str">
        <f t="shared" ref="X49:X59" si="13">IF(U49&gt;V49,"Complete",C49+60)</f>
        <v>Complete</v>
      </c>
    </row>
    <row r="50" ht="13.8" spans="1:24">
      <c r="A50" s="12">
        <v>43</v>
      </c>
      <c r="B50" s="13" t="s">
        <v>552</v>
      </c>
      <c r="C50" s="14">
        <v>45553</v>
      </c>
      <c r="D50" s="15">
        <v>8</v>
      </c>
      <c r="E50" s="16" t="str">
        <f>+VLOOKUP(D50,'Party Master'!$A$2:$B$170,2,FALSE)</f>
        <v>ABD Engineering Works</v>
      </c>
      <c r="F50" s="16" t="s">
        <v>224</v>
      </c>
      <c r="G50" s="13" t="str">
        <f>+VLOOKUP(F50,'Stock Statement'!$A$3:$B$138,2,FALSE)</f>
        <v>HST Black 8mm</v>
      </c>
      <c r="H50" s="13">
        <v>1300</v>
      </c>
      <c r="I50" s="28" t="str">
        <f>+VLOOKUP(F50,'Stock Statement'!$A$3:$I$138,9,FALSE)</f>
        <v>MTRS</v>
      </c>
      <c r="J50" s="29">
        <v>6.65</v>
      </c>
      <c r="K50" s="30">
        <f t="shared" si="0"/>
        <v>8645</v>
      </c>
      <c r="L50" s="31">
        <v>0</v>
      </c>
      <c r="M50" s="30">
        <f t="shared" si="1"/>
        <v>8645</v>
      </c>
      <c r="N50" s="30">
        <f t="shared" si="11"/>
        <v>778.05</v>
      </c>
      <c r="O50" s="30">
        <f t="shared" si="12"/>
        <v>778.05</v>
      </c>
      <c r="P50" s="30">
        <f t="shared" si="4"/>
        <v>0</v>
      </c>
      <c r="Q50" s="30">
        <v>-0.1</v>
      </c>
      <c r="R50" s="30">
        <f t="shared" si="5"/>
        <v>10201</v>
      </c>
      <c r="S50" s="43" t="s">
        <v>528</v>
      </c>
      <c r="T50" s="41">
        <v>45292</v>
      </c>
      <c r="U50" s="30">
        <v>10201</v>
      </c>
      <c r="V50" s="30">
        <f t="shared" si="6"/>
        <v>0</v>
      </c>
      <c r="W50" s="30">
        <v>150</v>
      </c>
      <c r="X50" s="42" t="str">
        <f t="shared" si="13"/>
        <v>Complete</v>
      </c>
    </row>
    <row r="51" ht="13.8" spans="1:24">
      <c r="A51" s="12">
        <v>43</v>
      </c>
      <c r="B51" s="13" t="s">
        <v>552</v>
      </c>
      <c r="C51" s="14">
        <v>45553</v>
      </c>
      <c r="D51" s="15">
        <v>8</v>
      </c>
      <c r="E51" s="16" t="str">
        <f>+VLOOKUP(D51,'Party Master'!$A$2:$B$170,2,FALSE)</f>
        <v>ABD Engineering Works</v>
      </c>
      <c r="F51" s="16" t="s">
        <v>226</v>
      </c>
      <c r="G51" s="13" t="str">
        <f>+VLOOKUP(F51,'Stock Statement'!$A$3:$B$138,2,FALSE)</f>
        <v>HST Black 10mm</v>
      </c>
      <c r="H51" s="13">
        <v>1100</v>
      </c>
      <c r="I51" s="28" t="str">
        <f>+VLOOKUP(F51,'Stock Statement'!$A$3:$I$138,9,FALSE)</f>
        <v>MTRS</v>
      </c>
      <c r="J51" s="29">
        <v>7.95</v>
      </c>
      <c r="K51" s="30">
        <f t="shared" si="0"/>
        <v>8745</v>
      </c>
      <c r="L51" s="31">
        <v>0</v>
      </c>
      <c r="M51" s="30">
        <f t="shared" si="1"/>
        <v>8745</v>
      </c>
      <c r="N51" s="30">
        <f t="shared" si="11"/>
        <v>787.05</v>
      </c>
      <c r="O51" s="30">
        <f t="shared" si="12"/>
        <v>787.05</v>
      </c>
      <c r="P51" s="30">
        <f t="shared" si="4"/>
        <v>0</v>
      </c>
      <c r="Q51" s="30">
        <v>-0.1</v>
      </c>
      <c r="R51" s="30">
        <f t="shared" si="5"/>
        <v>10319</v>
      </c>
      <c r="S51" s="43" t="s">
        <v>528</v>
      </c>
      <c r="T51" s="41">
        <v>45292</v>
      </c>
      <c r="U51" s="30">
        <v>10319</v>
      </c>
      <c r="V51" s="30">
        <f t="shared" si="6"/>
        <v>0</v>
      </c>
      <c r="W51" s="30">
        <v>150</v>
      </c>
      <c r="X51" s="42" t="str">
        <f t="shared" si="13"/>
        <v>Complete</v>
      </c>
    </row>
    <row r="52" ht="13.8" spans="1:24">
      <c r="A52" s="12">
        <v>45</v>
      </c>
      <c r="B52" s="13" t="s">
        <v>553</v>
      </c>
      <c r="C52" s="14">
        <v>45569</v>
      </c>
      <c r="D52" s="15">
        <v>15</v>
      </c>
      <c r="E52" s="16" t="str">
        <f>+VLOOKUP(D52,'Party Master'!$A$2:$B$170,2,FALSE)</f>
        <v>BNO Wiring Technologies</v>
      </c>
      <c r="F52" s="16" t="s">
        <v>375</v>
      </c>
      <c r="G52" s="13" t="str">
        <f>+VLOOKUP(F52,'Stock Statement'!$A$3:$B$138,2,FALSE)</f>
        <v>VFG F-Class White 2mm</v>
      </c>
      <c r="H52" s="13">
        <v>600</v>
      </c>
      <c r="I52" s="28" t="str">
        <f>+VLOOKUP(F52,'Stock Statement'!$A$3:$I$138,9,FALSE)</f>
        <v>MTRS</v>
      </c>
      <c r="J52" s="29">
        <v>2.8</v>
      </c>
      <c r="K52" s="30">
        <f t="shared" si="0"/>
        <v>1680</v>
      </c>
      <c r="L52" s="31">
        <v>0</v>
      </c>
      <c r="M52" s="30">
        <f t="shared" si="1"/>
        <v>1680</v>
      </c>
      <c r="N52" s="30">
        <f t="shared" si="11"/>
        <v>151.2</v>
      </c>
      <c r="O52" s="30">
        <f t="shared" si="12"/>
        <v>151.2</v>
      </c>
      <c r="P52" s="30">
        <f t="shared" si="4"/>
        <v>0</v>
      </c>
      <c r="Q52" s="30">
        <v>0.1</v>
      </c>
      <c r="R52" s="30">
        <f t="shared" si="5"/>
        <v>1982.5</v>
      </c>
      <c r="S52" s="12" t="s">
        <v>528</v>
      </c>
      <c r="T52" s="41">
        <v>45269</v>
      </c>
      <c r="U52" s="30">
        <v>1982.5</v>
      </c>
      <c r="V52" s="30">
        <f t="shared" si="6"/>
        <v>0</v>
      </c>
      <c r="W52" s="30">
        <v>150</v>
      </c>
      <c r="X52" s="42" t="str">
        <f t="shared" si="13"/>
        <v>Complete</v>
      </c>
    </row>
    <row r="53" ht="13.8" spans="1:24">
      <c r="A53" s="12">
        <v>45</v>
      </c>
      <c r="B53" s="13" t="s">
        <v>553</v>
      </c>
      <c r="C53" s="14">
        <v>45569</v>
      </c>
      <c r="D53" s="15">
        <v>15</v>
      </c>
      <c r="E53" s="16" t="str">
        <f>+VLOOKUP(D53,'Party Master'!$A$2:$B$170,2,FALSE)</f>
        <v>BNO Wiring Technologies</v>
      </c>
      <c r="F53" s="16" t="s">
        <v>379</v>
      </c>
      <c r="G53" s="13" t="str">
        <f>+VLOOKUP(F53,'Stock Statement'!$A$3:$B$138,2,FALSE)</f>
        <v>VFG F-Class White 4mm</v>
      </c>
      <c r="H53" s="13">
        <v>600</v>
      </c>
      <c r="I53" s="28" t="str">
        <f>+VLOOKUP(F53,'Stock Statement'!$A$3:$I$138,9,FALSE)</f>
        <v>MTRS</v>
      </c>
      <c r="J53" s="29">
        <v>4.8</v>
      </c>
      <c r="K53" s="30">
        <f t="shared" si="0"/>
        <v>2880</v>
      </c>
      <c r="L53" s="31">
        <v>0</v>
      </c>
      <c r="M53" s="30">
        <f t="shared" si="1"/>
        <v>2880</v>
      </c>
      <c r="N53" s="30">
        <f t="shared" si="11"/>
        <v>259.2</v>
      </c>
      <c r="O53" s="30">
        <f t="shared" si="12"/>
        <v>259.2</v>
      </c>
      <c r="P53" s="30">
        <f t="shared" si="4"/>
        <v>0</v>
      </c>
      <c r="Q53" s="30">
        <v>0.1</v>
      </c>
      <c r="R53" s="30">
        <f t="shared" si="5"/>
        <v>3398.5</v>
      </c>
      <c r="S53" s="12" t="s">
        <v>528</v>
      </c>
      <c r="T53" s="41">
        <v>45269</v>
      </c>
      <c r="U53" s="30">
        <v>3398.5</v>
      </c>
      <c r="V53" s="30">
        <f t="shared" si="6"/>
        <v>0</v>
      </c>
      <c r="W53" s="30">
        <v>150</v>
      </c>
      <c r="X53" s="42" t="str">
        <f t="shared" si="13"/>
        <v>Complete</v>
      </c>
    </row>
    <row r="54" ht="13.8" spans="1:24">
      <c r="A54" s="12">
        <v>46</v>
      </c>
      <c r="B54" s="13" t="s">
        <v>554</v>
      </c>
      <c r="C54" s="14">
        <v>45571</v>
      </c>
      <c r="D54" s="15">
        <v>8</v>
      </c>
      <c r="E54" s="16" t="str">
        <f>+VLOOKUP(D54,'Party Master'!$A$2:$B$170,2,FALSE)</f>
        <v>ABD Engineering Works</v>
      </c>
      <c r="F54" s="16" t="s">
        <v>224</v>
      </c>
      <c r="G54" s="13" t="str">
        <f>+VLOOKUP(F54,'Stock Statement'!$A$3:$B$138,2,FALSE)</f>
        <v>HST Black 8mm</v>
      </c>
      <c r="H54" s="13">
        <v>1300</v>
      </c>
      <c r="I54" s="28" t="str">
        <f>+VLOOKUP(F54,'Stock Statement'!$A$3:$I$138,9,FALSE)</f>
        <v>MTRS</v>
      </c>
      <c r="J54" s="29">
        <v>6.65</v>
      </c>
      <c r="K54" s="30">
        <f t="shared" si="0"/>
        <v>8645</v>
      </c>
      <c r="L54" s="31">
        <v>0</v>
      </c>
      <c r="M54" s="30">
        <f t="shared" si="1"/>
        <v>8645</v>
      </c>
      <c r="N54" s="30">
        <f t="shared" si="11"/>
        <v>778.05</v>
      </c>
      <c r="O54" s="30">
        <f t="shared" si="12"/>
        <v>778.05</v>
      </c>
      <c r="P54" s="30">
        <f t="shared" si="4"/>
        <v>0</v>
      </c>
      <c r="Q54" s="30">
        <v>-0.1</v>
      </c>
      <c r="R54" s="30">
        <f t="shared" si="5"/>
        <v>10201</v>
      </c>
      <c r="S54" s="43" t="s">
        <v>528</v>
      </c>
      <c r="T54" s="41">
        <v>45292</v>
      </c>
      <c r="U54" s="30">
        <v>10201</v>
      </c>
      <c r="V54" s="30">
        <f t="shared" si="6"/>
        <v>0</v>
      </c>
      <c r="W54" s="30">
        <v>150</v>
      </c>
      <c r="X54" s="42" t="str">
        <f t="shared" si="13"/>
        <v>Complete</v>
      </c>
    </row>
    <row r="55" ht="13.8" spans="1:24">
      <c r="A55" s="12">
        <v>46</v>
      </c>
      <c r="B55" s="13" t="s">
        <v>554</v>
      </c>
      <c r="C55" s="14">
        <v>45571</v>
      </c>
      <c r="D55" s="15">
        <v>8</v>
      </c>
      <c r="E55" s="16" t="str">
        <f>+VLOOKUP(D55,'Party Master'!$A$2:$B$170,2,FALSE)</f>
        <v>ABD Engineering Works</v>
      </c>
      <c r="F55" s="16" t="s">
        <v>226</v>
      </c>
      <c r="G55" s="13" t="str">
        <f>+VLOOKUP(F55,'Stock Statement'!$A$3:$B$138,2,FALSE)</f>
        <v>HST Black 10mm</v>
      </c>
      <c r="H55" s="13">
        <v>1100</v>
      </c>
      <c r="I55" s="28" t="str">
        <f>+VLOOKUP(F55,'Stock Statement'!$A$3:$I$138,9,FALSE)</f>
        <v>MTRS</v>
      </c>
      <c r="J55" s="29">
        <v>7.95</v>
      </c>
      <c r="K55" s="30">
        <f t="shared" si="0"/>
        <v>8745</v>
      </c>
      <c r="L55" s="31">
        <v>0</v>
      </c>
      <c r="M55" s="30">
        <f t="shared" si="1"/>
        <v>8745</v>
      </c>
      <c r="N55" s="30">
        <f t="shared" si="11"/>
        <v>787.05</v>
      </c>
      <c r="O55" s="30">
        <f t="shared" si="12"/>
        <v>787.05</v>
      </c>
      <c r="P55" s="30">
        <f t="shared" si="4"/>
        <v>0</v>
      </c>
      <c r="Q55" s="30">
        <v>-0.1</v>
      </c>
      <c r="R55" s="30">
        <f t="shared" si="5"/>
        <v>10319</v>
      </c>
      <c r="S55" s="43" t="s">
        <v>528</v>
      </c>
      <c r="T55" s="41">
        <v>45292</v>
      </c>
      <c r="U55" s="30">
        <v>10319</v>
      </c>
      <c r="V55" s="30">
        <f t="shared" si="6"/>
        <v>0</v>
      </c>
      <c r="W55" s="30">
        <v>150</v>
      </c>
      <c r="X55" s="42" t="str">
        <f t="shared" si="13"/>
        <v>Complete</v>
      </c>
    </row>
    <row r="56" ht="13.8" spans="1:24">
      <c r="A56" s="18">
        <v>50</v>
      </c>
      <c r="B56" s="19" t="s">
        <v>555</v>
      </c>
      <c r="C56" s="20">
        <v>45579</v>
      </c>
      <c r="D56" s="21">
        <v>8</v>
      </c>
      <c r="E56" s="22" t="str">
        <f>+VLOOKUP(D56,'Party Master'!$A$2:$B$170,2,FALSE)</f>
        <v>ABD Engineering Works</v>
      </c>
      <c r="F56" s="22" t="s">
        <v>224</v>
      </c>
      <c r="G56" s="19" t="str">
        <f>+VLOOKUP(F56,'Stock Statement'!$A$3:$B$138,2,FALSE)</f>
        <v>HST Black 8mm</v>
      </c>
      <c r="H56" s="19">
        <v>2600</v>
      </c>
      <c r="I56" s="32" t="str">
        <f>+VLOOKUP(F56,'Stock Statement'!$A$3:$I$138,9,FALSE)</f>
        <v>MTRS</v>
      </c>
      <c r="J56" s="33">
        <v>6.65</v>
      </c>
      <c r="K56" s="34">
        <f t="shared" si="0"/>
        <v>17290</v>
      </c>
      <c r="L56" s="35">
        <v>0</v>
      </c>
      <c r="M56" s="34">
        <f t="shared" si="1"/>
        <v>17290</v>
      </c>
      <c r="N56" s="34">
        <f t="shared" si="11"/>
        <v>1556.1</v>
      </c>
      <c r="O56" s="34">
        <f t="shared" si="12"/>
        <v>1556.1</v>
      </c>
      <c r="P56" s="34">
        <f t="shared" si="4"/>
        <v>0</v>
      </c>
      <c r="Q56" s="34"/>
      <c r="R56" s="34">
        <f t="shared" si="5"/>
        <v>20402.2</v>
      </c>
      <c r="S56" s="18"/>
      <c r="T56" s="45"/>
      <c r="U56" s="34"/>
      <c r="V56" s="34">
        <f t="shared" si="6"/>
        <v>20402.2</v>
      </c>
      <c r="W56" s="34">
        <v>300</v>
      </c>
      <c r="X56" s="46">
        <f t="shared" si="13"/>
        <v>45639</v>
      </c>
    </row>
    <row r="57" ht="13.8" spans="1:24">
      <c r="A57" s="18">
        <v>50</v>
      </c>
      <c r="B57" s="19" t="s">
        <v>555</v>
      </c>
      <c r="C57" s="20">
        <v>45579</v>
      </c>
      <c r="D57" s="21">
        <v>8</v>
      </c>
      <c r="E57" s="22" t="str">
        <f>+VLOOKUP(D57,'Party Master'!$A$2:$B$170,2,FALSE)</f>
        <v>ABD Engineering Works</v>
      </c>
      <c r="F57" s="22" t="s">
        <v>252</v>
      </c>
      <c r="G57" s="19" t="str">
        <f>+VLOOKUP(F57,'Stock Statement'!$A$3:$B$138,2,FALSE)</f>
        <v>HST Black 7.9mm with Adhessive</v>
      </c>
      <c r="H57" s="19">
        <v>1000</v>
      </c>
      <c r="I57" s="32" t="str">
        <f>+VLOOKUP(F57,'Stock Statement'!$A$3:$I$138,9,FALSE)</f>
        <v>MTRS</v>
      </c>
      <c r="J57" s="33">
        <v>29.5</v>
      </c>
      <c r="K57" s="34">
        <f t="shared" si="0"/>
        <v>29500</v>
      </c>
      <c r="L57" s="35">
        <v>0</v>
      </c>
      <c r="M57" s="34">
        <f t="shared" si="1"/>
        <v>29500</v>
      </c>
      <c r="N57" s="34">
        <f t="shared" si="11"/>
        <v>2655</v>
      </c>
      <c r="O57" s="34">
        <f t="shared" si="12"/>
        <v>2655</v>
      </c>
      <c r="P57" s="34">
        <f t="shared" si="4"/>
        <v>0</v>
      </c>
      <c r="Q57" s="34"/>
      <c r="R57" s="34">
        <f t="shared" si="5"/>
        <v>34810</v>
      </c>
      <c r="S57" s="18"/>
      <c r="T57" s="45"/>
      <c r="U57" s="34"/>
      <c r="V57" s="34">
        <f t="shared" si="6"/>
        <v>34810</v>
      </c>
      <c r="W57" s="34">
        <v>300</v>
      </c>
      <c r="X57" s="46">
        <f t="shared" si="13"/>
        <v>45639</v>
      </c>
    </row>
    <row r="58" s="4" customFormat="1" ht="13.8" spans="1:25">
      <c r="A58" s="23">
        <v>52</v>
      </c>
      <c r="B58" s="24" t="s">
        <v>556</v>
      </c>
      <c r="C58" s="25">
        <v>45579</v>
      </c>
      <c r="D58" s="26">
        <v>15</v>
      </c>
      <c r="E58" s="27" t="str">
        <f>+VLOOKUP(D58,'Party Master'!$A$2:$B$170,2,FALSE)</f>
        <v>BNO Wiring Technologies</v>
      </c>
      <c r="F58" s="27" t="s">
        <v>163</v>
      </c>
      <c r="G58" s="24" t="str">
        <f>+VLOOKUP(F58,'Stock Statement'!$A$3:$B$138,2,FALSE)</f>
        <v>Double Sided Foam Tape 20mmX5M</v>
      </c>
      <c r="H58" s="24">
        <v>270</v>
      </c>
      <c r="I58" s="36" t="str">
        <f>+VLOOKUP(F58,'Stock Statement'!$A$3:$I$138,9,FALSE)</f>
        <v>NOS</v>
      </c>
      <c r="J58" s="37">
        <v>16</v>
      </c>
      <c r="K58" s="37">
        <f t="shared" si="0"/>
        <v>4320</v>
      </c>
      <c r="L58" s="38">
        <v>0</v>
      </c>
      <c r="M58" s="37"/>
      <c r="N58" s="37">
        <f t="shared" si="11"/>
        <v>0</v>
      </c>
      <c r="O58" s="37">
        <f t="shared" si="12"/>
        <v>0</v>
      </c>
      <c r="P58" s="37">
        <f t="shared" si="4"/>
        <v>0</v>
      </c>
      <c r="Q58" s="37">
        <v>0</v>
      </c>
      <c r="R58" s="37"/>
      <c r="S58" s="37"/>
      <c r="T58" s="25"/>
      <c r="U58" s="37"/>
      <c r="V58" s="37">
        <f t="shared" si="6"/>
        <v>0</v>
      </c>
      <c r="W58" s="37">
        <v>300</v>
      </c>
      <c r="X58" s="47">
        <f t="shared" si="13"/>
        <v>45639</v>
      </c>
      <c r="Y58" s="4" t="s">
        <v>557</v>
      </c>
    </row>
    <row r="59" ht="13.8" spans="1:24">
      <c r="A59" s="12">
        <v>53</v>
      </c>
      <c r="B59" s="13" t="s">
        <v>558</v>
      </c>
      <c r="C59" s="14">
        <v>45582</v>
      </c>
      <c r="D59" s="15">
        <v>15</v>
      </c>
      <c r="E59" s="16" t="str">
        <f>+VLOOKUP(D59,'Party Master'!$A$2:$B$170,2,FALSE)</f>
        <v>BNO Wiring Technologies</v>
      </c>
      <c r="F59" s="16" t="s">
        <v>375</v>
      </c>
      <c r="G59" s="13" t="str">
        <f>+VLOOKUP(F59,'Stock Statement'!$A$3:$B$138,2,FALSE)</f>
        <v>VFG F-Class White 2mm</v>
      </c>
      <c r="H59" s="13">
        <v>600</v>
      </c>
      <c r="I59" s="28" t="str">
        <f>+VLOOKUP(F59,'Stock Statement'!$A$3:$I$138,9,FALSE)</f>
        <v>MTRS</v>
      </c>
      <c r="J59" s="29">
        <v>2.8</v>
      </c>
      <c r="K59" s="30">
        <f t="shared" si="0"/>
        <v>1680</v>
      </c>
      <c r="L59" s="31">
        <v>0</v>
      </c>
      <c r="M59" s="30">
        <f t="shared" ref="M59:M67" si="14">SUM(K59:L59)</f>
        <v>1680</v>
      </c>
      <c r="N59" s="30">
        <f t="shared" si="11"/>
        <v>151.2</v>
      </c>
      <c r="O59" s="30">
        <f t="shared" si="12"/>
        <v>151.2</v>
      </c>
      <c r="P59" s="30">
        <f t="shared" si="4"/>
        <v>0</v>
      </c>
      <c r="Q59" s="30"/>
      <c r="R59" s="30">
        <f t="shared" ref="R59:R67" si="15">SUM(M59:Q59)</f>
        <v>1982.4</v>
      </c>
      <c r="S59" s="12" t="s">
        <v>528</v>
      </c>
      <c r="T59" s="41">
        <v>45269</v>
      </c>
      <c r="U59" s="30">
        <v>1982.4</v>
      </c>
      <c r="V59" s="30">
        <f t="shared" si="6"/>
        <v>0</v>
      </c>
      <c r="W59" s="30">
        <v>150</v>
      </c>
      <c r="X59" s="42" t="str">
        <f t="shared" si="13"/>
        <v>Complete</v>
      </c>
    </row>
    <row r="60" ht="13.8" spans="1:24">
      <c r="A60" s="12">
        <v>53</v>
      </c>
      <c r="B60" s="13" t="s">
        <v>558</v>
      </c>
      <c r="C60" s="14">
        <v>45582</v>
      </c>
      <c r="D60" s="15">
        <v>15</v>
      </c>
      <c r="E60" s="16" t="str">
        <f>+VLOOKUP(D60,'Party Master'!$A$2:$B$170,2,FALSE)</f>
        <v>BNO Wiring Technologies</v>
      </c>
      <c r="F60" s="16" t="s">
        <v>379</v>
      </c>
      <c r="G60" s="13" t="str">
        <f>+VLOOKUP(F60,'Stock Statement'!$A$3:$B$138,2,FALSE)</f>
        <v>VFG F-Class White 4mm</v>
      </c>
      <c r="H60" s="13">
        <v>500</v>
      </c>
      <c r="I60" s="28" t="str">
        <f>+VLOOKUP(F60,'Stock Statement'!$A$3:$I$138,9,FALSE)</f>
        <v>MTRS</v>
      </c>
      <c r="J60" s="29">
        <v>4.8</v>
      </c>
      <c r="K60" s="30">
        <f t="shared" si="0"/>
        <v>2400</v>
      </c>
      <c r="L60" s="31">
        <v>0</v>
      </c>
      <c r="M60" s="30">
        <f t="shared" si="14"/>
        <v>2400</v>
      </c>
      <c r="N60" s="30">
        <f t="shared" si="11"/>
        <v>216</v>
      </c>
      <c r="O60" s="30">
        <f t="shared" si="12"/>
        <v>216</v>
      </c>
      <c r="P60" s="30">
        <f t="shared" si="4"/>
        <v>0</v>
      </c>
      <c r="Q60" s="30"/>
      <c r="R60" s="30">
        <f t="shared" si="15"/>
        <v>2832</v>
      </c>
      <c r="S60" s="12" t="s">
        <v>528</v>
      </c>
      <c r="T60" s="41">
        <v>45269</v>
      </c>
      <c r="U60" s="30">
        <v>2832</v>
      </c>
      <c r="V60" s="30">
        <f t="shared" si="6"/>
        <v>0</v>
      </c>
      <c r="W60" s="30">
        <v>150</v>
      </c>
      <c r="X60" s="42" t="str">
        <f>IF(U60&gt;V60,"Complete",C60+30)</f>
        <v>Complete</v>
      </c>
    </row>
    <row r="61" ht="13.8" spans="1:24">
      <c r="A61" s="12">
        <v>53</v>
      </c>
      <c r="B61" s="13" t="s">
        <v>558</v>
      </c>
      <c r="C61" s="14">
        <v>45582</v>
      </c>
      <c r="D61" s="15">
        <v>15</v>
      </c>
      <c r="E61" s="16" t="str">
        <f>+VLOOKUP(D61,'Party Master'!$A$2:$B$170,2,FALSE)</f>
        <v>BNO Wiring Technologies</v>
      </c>
      <c r="F61" s="16" t="s">
        <v>324</v>
      </c>
      <c r="G61" s="13" t="str">
        <f>+VLOOKUP(F61,'Stock Statement'!$A$3:$B$138,2,FALSE)</f>
        <v>Indrayani Industrial Suppliers</v>
      </c>
      <c r="H61" s="13">
        <v>20</v>
      </c>
      <c r="I61" s="28" t="str">
        <f>+VLOOKUP(F61,'Stock Statement'!$A$3:$I$138,9,FALSE)</f>
        <v>Ltrs</v>
      </c>
      <c r="J61" s="29">
        <v>250</v>
      </c>
      <c r="K61" s="30">
        <f t="shared" si="0"/>
        <v>5000</v>
      </c>
      <c r="L61" s="31">
        <v>0</v>
      </c>
      <c r="M61" s="30">
        <f t="shared" si="14"/>
        <v>5000</v>
      </c>
      <c r="N61" s="30">
        <f t="shared" si="11"/>
        <v>450</v>
      </c>
      <c r="O61" s="30">
        <f t="shared" si="12"/>
        <v>450</v>
      </c>
      <c r="P61" s="30">
        <f t="shared" si="4"/>
        <v>0</v>
      </c>
      <c r="Q61" s="30"/>
      <c r="R61" s="30">
        <f t="shared" si="15"/>
        <v>5900</v>
      </c>
      <c r="S61" s="12" t="s">
        <v>528</v>
      </c>
      <c r="T61" s="41">
        <v>45269</v>
      </c>
      <c r="U61" s="30">
        <v>5900</v>
      </c>
      <c r="V61" s="30">
        <f t="shared" si="6"/>
        <v>0</v>
      </c>
      <c r="W61" s="30">
        <v>150</v>
      </c>
      <c r="X61" s="42" t="str">
        <f>IF(U61&gt;V61,"Complete",C61+30)</f>
        <v>Complete</v>
      </c>
    </row>
    <row r="62" ht="13.8" spans="1:24">
      <c r="A62" s="18">
        <v>54</v>
      </c>
      <c r="B62" s="19" t="s">
        <v>559</v>
      </c>
      <c r="C62" s="20">
        <v>45586</v>
      </c>
      <c r="D62" s="21">
        <v>3</v>
      </c>
      <c r="E62" s="22" t="str">
        <f>+VLOOKUP(D62,'Party Master'!$A$2:$B$170,2,FALSE)</f>
        <v>OPQ Manufacturing Industries Ltd.E1</v>
      </c>
      <c r="F62" s="22" t="s">
        <v>150</v>
      </c>
      <c r="G62" s="19" t="str">
        <f>+VLOOKUP(F62,'Stock Statement'!$A$3:$B$138,2,FALSE)</f>
        <v>terminal Cap 6.3 SE</v>
      </c>
      <c r="H62" s="19">
        <v>300</v>
      </c>
      <c r="I62" s="32" t="str">
        <f>+VLOOKUP(F62,'Stock Statement'!$A$3:$I$138,9,FALSE)</f>
        <v>NOS</v>
      </c>
      <c r="J62" s="33">
        <v>1</v>
      </c>
      <c r="K62" s="34">
        <f t="shared" si="0"/>
        <v>300</v>
      </c>
      <c r="L62" s="35">
        <v>0</v>
      </c>
      <c r="M62" s="34">
        <f t="shared" si="14"/>
        <v>300</v>
      </c>
      <c r="N62" s="34">
        <f t="shared" si="11"/>
        <v>27</v>
      </c>
      <c r="O62" s="34">
        <f t="shared" si="12"/>
        <v>27</v>
      </c>
      <c r="P62" s="34">
        <f t="shared" si="4"/>
        <v>0</v>
      </c>
      <c r="Q62" s="34"/>
      <c r="R62" s="34">
        <f t="shared" si="15"/>
        <v>354</v>
      </c>
      <c r="S62" s="18"/>
      <c r="T62" s="45"/>
      <c r="U62" s="34"/>
      <c r="V62" s="34">
        <f t="shared" si="6"/>
        <v>354</v>
      </c>
      <c r="W62" s="34">
        <v>150</v>
      </c>
      <c r="X62" s="46">
        <f>IF(U62&gt;V62,"Complete",C62+45)</f>
        <v>45631</v>
      </c>
    </row>
    <row r="63" ht="13.8" spans="1:24">
      <c r="A63" s="18">
        <v>54</v>
      </c>
      <c r="B63" s="19" t="s">
        <v>559</v>
      </c>
      <c r="C63" s="20">
        <v>45586</v>
      </c>
      <c r="D63" s="21">
        <v>3</v>
      </c>
      <c r="E63" s="22" t="str">
        <f>+VLOOKUP(D63,'Party Master'!$A$2:$B$170,2,FALSE)</f>
        <v>OPQ Manufacturing Industries Ltd.E1</v>
      </c>
      <c r="F63" s="22" t="s">
        <v>272</v>
      </c>
      <c r="G63" s="19" t="str">
        <f>+VLOOKUP(F63,'Stock Statement'!$A$3:$B$138,2,FALSE)</f>
        <v>PVC Sleeve 05mm Grey</v>
      </c>
      <c r="H63" s="19">
        <v>300</v>
      </c>
      <c r="I63" s="32" t="str">
        <f>+VLOOKUP(F63,'Stock Statement'!$A$3:$I$138,9,FALSE)</f>
        <v>MTRS</v>
      </c>
      <c r="J63" s="33">
        <v>2</v>
      </c>
      <c r="K63" s="34">
        <f t="shared" si="0"/>
        <v>600</v>
      </c>
      <c r="L63" s="35">
        <v>0</v>
      </c>
      <c r="M63" s="34">
        <f t="shared" si="14"/>
        <v>600</v>
      </c>
      <c r="N63" s="34">
        <f t="shared" si="11"/>
        <v>54</v>
      </c>
      <c r="O63" s="34">
        <f t="shared" si="12"/>
        <v>54</v>
      </c>
      <c r="P63" s="34">
        <f t="shared" si="4"/>
        <v>0</v>
      </c>
      <c r="Q63" s="34"/>
      <c r="R63" s="34">
        <f t="shared" si="15"/>
        <v>708</v>
      </c>
      <c r="S63" s="18"/>
      <c r="T63" s="45"/>
      <c r="U63" s="34"/>
      <c r="V63" s="34">
        <f t="shared" si="6"/>
        <v>708</v>
      </c>
      <c r="W63" s="34"/>
      <c r="X63" s="46">
        <f>IF(U63&gt;V63,"Complete",C63+45)</f>
        <v>45631</v>
      </c>
    </row>
    <row r="64" ht="13.8" spans="1:24">
      <c r="A64" s="12">
        <v>55</v>
      </c>
      <c r="B64" s="13" t="s">
        <v>560</v>
      </c>
      <c r="C64" s="14">
        <v>45591</v>
      </c>
      <c r="D64" s="15">
        <v>7</v>
      </c>
      <c r="E64" s="16" t="str">
        <f>+VLOOKUP(D64,'Party Master'!$A$2:$B$170,2,FALSE)</f>
        <v>UVW SwitchGears &amp; Transformers Pvt Ltd</v>
      </c>
      <c r="F64" s="16" t="s">
        <v>158</v>
      </c>
      <c r="G64" s="13" t="str">
        <f>+VLOOKUP(F64,'Stock Statement'!$A$3:$B$138,2,FALSE)</f>
        <v>CRAPE PAPER BROWN 4mil 1 Inch</v>
      </c>
      <c r="H64" s="13">
        <v>32.7</v>
      </c>
      <c r="I64" s="28" t="str">
        <f>+VLOOKUP(F64,'Stock Statement'!$A$3:$I$138,9,FALSE)</f>
        <v>KGS</v>
      </c>
      <c r="J64" s="29">
        <v>255</v>
      </c>
      <c r="K64" s="30">
        <f t="shared" si="0"/>
        <v>8338.5</v>
      </c>
      <c r="L64" s="31">
        <v>0</v>
      </c>
      <c r="M64" s="30">
        <f t="shared" si="14"/>
        <v>8338.5</v>
      </c>
      <c r="N64" s="30">
        <f>+M64*6%</f>
        <v>500.31</v>
      </c>
      <c r="O64" s="30">
        <f>+M64*6%</f>
        <v>500.31</v>
      </c>
      <c r="P64" s="30">
        <f t="shared" si="4"/>
        <v>0</v>
      </c>
      <c r="Q64" s="30">
        <v>-0.12</v>
      </c>
      <c r="R64" s="30">
        <f t="shared" si="15"/>
        <v>9339</v>
      </c>
      <c r="S64" s="12" t="s">
        <v>528</v>
      </c>
      <c r="T64" s="41">
        <v>45290</v>
      </c>
      <c r="U64" s="30">
        <v>9339</v>
      </c>
      <c r="V64" s="30">
        <f t="shared" si="6"/>
        <v>0</v>
      </c>
      <c r="W64" s="30">
        <v>150</v>
      </c>
      <c r="X64" s="42" t="str">
        <f>IF(U64&gt;V64,"Complete",C64+60)</f>
        <v>Complete</v>
      </c>
    </row>
    <row r="65" ht="13.8" spans="1:24">
      <c r="A65" s="12">
        <v>58</v>
      </c>
      <c r="B65" s="13" t="s">
        <v>561</v>
      </c>
      <c r="C65" s="14">
        <v>45591</v>
      </c>
      <c r="D65" s="15">
        <v>15</v>
      </c>
      <c r="E65" s="16" t="str">
        <f>+VLOOKUP(D65,'Party Master'!$A$2:$B$170,2,FALSE)</f>
        <v>BNO Wiring Technologies</v>
      </c>
      <c r="F65" s="16" t="s">
        <v>332</v>
      </c>
      <c r="G65" s="13" t="str">
        <f>+VLOOKUP(F65,'Stock Statement'!$A$3:$B$138,2,FALSE)</f>
        <v>Solder Wire </v>
      </c>
      <c r="H65" s="13">
        <v>1</v>
      </c>
      <c r="I65" s="28" t="str">
        <f>+VLOOKUP(F65,'Stock Statement'!$A$3:$I$138,9,FALSE)</f>
        <v>KGS</v>
      </c>
      <c r="J65" s="29">
        <v>2000</v>
      </c>
      <c r="K65" s="30">
        <f t="shared" si="0"/>
        <v>2000</v>
      </c>
      <c r="L65" s="31">
        <v>0</v>
      </c>
      <c r="M65" s="30">
        <f t="shared" si="14"/>
        <v>2000</v>
      </c>
      <c r="N65" s="30">
        <f>+M65*9%</f>
        <v>180</v>
      </c>
      <c r="O65" s="30">
        <f>+M65*9%</f>
        <v>180</v>
      </c>
      <c r="P65" s="30">
        <f t="shared" si="4"/>
        <v>0</v>
      </c>
      <c r="Q65" s="30"/>
      <c r="R65" s="30">
        <f t="shared" si="15"/>
        <v>2360</v>
      </c>
      <c r="S65" s="12" t="s">
        <v>528</v>
      </c>
      <c r="T65" s="41">
        <v>45269</v>
      </c>
      <c r="U65" s="30">
        <v>2360</v>
      </c>
      <c r="V65" s="30">
        <f t="shared" si="6"/>
        <v>0</v>
      </c>
      <c r="W65" s="30"/>
      <c r="X65" s="42" t="str">
        <f>IF(U65&gt;V65,"Complete",C65+60)</f>
        <v>Complete</v>
      </c>
    </row>
    <row r="66" ht="13.8" spans="1:24">
      <c r="A66" s="18">
        <v>60</v>
      </c>
      <c r="B66" s="19" t="s">
        <v>562</v>
      </c>
      <c r="C66" s="20">
        <v>45595</v>
      </c>
      <c r="D66" s="21">
        <v>15</v>
      </c>
      <c r="E66" s="22" t="str">
        <f>+VLOOKUP(D66,'Party Master'!$A$2:$B$170,2,FALSE)</f>
        <v>BNO Wiring Technologies</v>
      </c>
      <c r="F66" s="22" t="s">
        <v>332</v>
      </c>
      <c r="G66" s="19" t="str">
        <f>+VLOOKUP(F66,'Stock Statement'!$A$3:$B$138,2,FALSE)</f>
        <v>Solder Wire </v>
      </c>
      <c r="H66" s="19">
        <v>3</v>
      </c>
      <c r="I66" s="32" t="str">
        <f>+VLOOKUP(F66,'Stock Statement'!$A$3:$I$138,9,FALSE)</f>
        <v>KGS</v>
      </c>
      <c r="J66" s="33">
        <v>2000</v>
      </c>
      <c r="K66" s="34">
        <f t="shared" si="0"/>
        <v>6000</v>
      </c>
      <c r="L66" s="35">
        <v>0</v>
      </c>
      <c r="M66" s="34">
        <f t="shared" si="14"/>
        <v>6000</v>
      </c>
      <c r="N66" s="34">
        <f>+M66*9%</f>
        <v>540</v>
      </c>
      <c r="O66" s="34">
        <f>+M66*9%</f>
        <v>540</v>
      </c>
      <c r="P66" s="34">
        <f t="shared" si="4"/>
        <v>0</v>
      </c>
      <c r="Q66" s="34"/>
      <c r="R66" s="34">
        <f t="shared" si="15"/>
        <v>7080</v>
      </c>
      <c r="S66" s="18"/>
      <c r="T66" s="45"/>
      <c r="U66" s="34"/>
      <c r="V66" s="34">
        <f t="shared" si="6"/>
        <v>7080</v>
      </c>
      <c r="W66" s="34"/>
      <c r="X66" s="46">
        <f>IF(U66&gt;V66,"Complete",C66+60)</f>
        <v>45655</v>
      </c>
    </row>
    <row r="67" ht="13.8" spans="1:24">
      <c r="A67" s="18">
        <v>60</v>
      </c>
      <c r="B67" s="19" t="s">
        <v>562</v>
      </c>
      <c r="C67" s="20">
        <v>45595</v>
      </c>
      <c r="D67" s="21">
        <v>15</v>
      </c>
      <c r="E67" s="22" t="str">
        <f>+VLOOKUP(D67,'Party Master'!$A$2:$B$170,2,FALSE)</f>
        <v>BNO Wiring Technologies</v>
      </c>
      <c r="F67" s="22" t="s">
        <v>330</v>
      </c>
      <c r="G67" s="19" t="str">
        <f>+VLOOKUP(F67,'Stock Statement'!$A$3:$B$138,2,FALSE)</f>
        <v>Solder Rod 63/37</v>
      </c>
      <c r="H67" s="19">
        <v>5</v>
      </c>
      <c r="I67" s="32" t="str">
        <f>+VLOOKUP(F67,'Stock Statement'!$A$3:$I$138,9,FALSE)</f>
        <v>KGS</v>
      </c>
      <c r="J67" s="33">
        <v>2000</v>
      </c>
      <c r="K67" s="34">
        <f t="shared" si="0"/>
        <v>10000</v>
      </c>
      <c r="L67" s="35">
        <v>0</v>
      </c>
      <c r="M67" s="34">
        <f t="shared" si="14"/>
        <v>10000</v>
      </c>
      <c r="N67" s="34">
        <f>+M67*9%</f>
        <v>900</v>
      </c>
      <c r="O67" s="34">
        <f>+M67*9%</f>
        <v>900</v>
      </c>
      <c r="P67" s="34">
        <f t="shared" si="4"/>
        <v>0</v>
      </c>
      <c r="Q67" s="34"/>
      <c r="R67" s="34">
        <f t="shared" si="15"/>
        <v>11800</v>
      </c>
      <c r="S67" s="18"/>
      <c r="T67" s="45"/>
      <c r="U67" s="34"/>
      <c r="V67" s="34">
        <f t="shared" si="6"/>
        <v>11800</v>
      </c>
      <c r="W67" s="34"/>
      <c r="X67" s="46">
        <f>IF(U67&gt;V67,"Complete",C67+60)</f>
        <v>45655</v>
      </c>
    </row>
    <row r="68" spans="1:24">
      <c r="A68" s="48"/>
      <c r="B68" s="4"/>
      <c r="C68" s="4"/>
      <c r="D68" s="4"/>
      <c r="E68" s="4"/>
      <c r="F68" s="4"/>
      <c r="G68" s="4"/>
      <c r="H68" s="4">
        <f>SUM(H7:H67)</f>
        <v>38467.1</v>
      </c>
      <c r="I68" s="50"/>
      <c r="J68" s="51"/>
      <c r="K68" s="51"/>
      <c r="L68" s="52" t="s">
        <v>422</v>
      </c>
      <c r="M68" s="52">
        <f>SUM(M7:M67)</f>
        <v>399258.95</v>
      </c>
      <c r="N68" s="52">
        <f>SUM(N7:N67)</f>
        <v>35228.7405</v>
      </c>
      <c r="O68" s="52">
        <f>SUM(O7:O67)</f>
        <v>35228.7405</v>
      </c>
      <c r="P68" s="52">
        <f>SUM(P7:P67)</f>
        <v>0</v>
      </c>
      <c r="Q68" s="52"/>
      <c r="R68" s="55">
        <f>SUM(R7:R67)</f>
        <v>469716.591</v>
      </c>
      <c r="S68" s="50"/>
      <c r="T68" s="4"/>
      <c r="U68" s="55">
        <f>SUM(U7:U67)</f>
        <v>394562.395</v>
      </c>
      <c r="V68" s="55">
        <f>SUM(V7:V67)</f>
        <v>75154.196</v>
      </c>
      <c r="W68" s="55">
        <f>SUM(W7:W67)</f>
        <v>9500</v>
      </c>
      <c r="X68" s="4"/>
    </row>
    <row r="69" spans="2:24">
      <c r="B69" s="4"/>
      <c r="C69" s="4"/>
      <c r="D69" s="4"/>
      <c r="E69" s="4"/>
      <c r="F69" s="4"/>
      <c r="G69" s="49"/>
      <c r="H69" s="4"/>
      <c r="I69" s="50"/>
      <c r="J69" s="4"/>
      <c r="K69" s="4"/>
      <c r="L69" s="4"/>
      <c r="M69" s="4"/>
      <c r="N69" s="4"/>
      <c r="O69" s="4"/>
      <c r="P69" s="4"/>
      <c r="Q69" s="4"/>
      <c r="R69" s="53"/>
      <c r="S69" s="50"/>
      <c r="T69" s="4"/>
      <c r="U69" s="4"/>
      <c r="V69" s="56"/>
      <c r="W69" s="4"/>
      <c r="X69" s="4"/>
    </row>
    <row r="70" spans="2:24">
      <c r="B70" s="4"/>
      <c r="C70" s="4"/>
      <c r="D70" s="4"/>
      <c r="E70" s="4"/>
      <c r="F70" s="4"/>
      <c r="G70" s="4"/>
      <c r="H70" s="4"/>
      <c r="I70" s="50"/>
      <c r="J70" s="4"/>
      <c r="K70" s="4"/>
      <c r="L70" s="4"/>
      <c r="M70" s="53"/>
      <c r="N70" s="4"/>
      <c r="O70" s="4"/>
      <c r="P70" s="4"/>
      <c r="Q70" s="4"/>
      <c r="R70" s="53"/>
      <c r="S70" s="50"/>
      <c r="T70" s="4"/>
      <c r="U70" s="4"/>
      <c r="V70" s="53"/>
      <c r="W70" s="4"/>
      <c r="X70" s="4"/>
    </row>
    <row r="71" spans="2:24">
      <c r="B71" s="4"/>
      <c r="C71" s="4"/>
      <c r="D71" s="4"/>
      <c r="E71" s="4"/>
      <c r="F71" s="4"/>
      <c r="G71" s="4"/>
      <c r="H71" s="4"/>
      <c r="I71" s="50"/>
      <c r="J71" s="4"/>
      <c r="K71" s="4"/>
      <c r="L71" s="4"/>
      <c r="M71" s="54"/>
      <c r="N71" s="4"/>
      <c r="O71" s="4"/>
      <c r="P71" s="4"/>
      <c r="Q71" s="4"/>
      <c r="R71" s="4"/>
      <c r="S71" s="50"/>
      <c r="T71" s="53"/>
      <c r="U71" s="4"/>
      <c r="V71" s="4"/>
      <c r="W71" s="4"/>
      <c r="X71" s="4"/>
    </row>
    <row r="72" spans="2:24">
      <c r="B72" s="4"/>
      <c r="C72" s="4"/>
      <c r="D72" s="4"/>
      <c r="E72" s="4"/>
      <c r="F72" s="4"/>
      <c r="G72" s="4"/>
      <c r="H72" s="4"/>
      <c r="I72" s="50"/>
      <c r="J72" s="4"/>
      <c r="K72" s="4"/>
      <c r="L72" s="4"/>
      <c r="M72" s="4"/>
      <c r="N72" s="4"/>
      <c r="O72" s="4"/>
      <c r="P72" s="4"/>
      <c r="Q72" s="4"/>
      <c r="R72" s="4"/>
      <c r="S72" s="50"/>
      <c r="T72" s="4"/>
      <c r="U72" s="4"/>
      <c r="V72" s="53"/>
      <c r="W72" s="4"/>
      <c r="X72" s="4"/>
    </row>
    <row r="74" spans="19:21">
      <c r="S74" s="2">
        <v>55872</v>
      </c>
      <c r="U74" s="5">
        <v>100232</v>
      </c>
    </row>
    <row r="75" spans="19:21">
      <c r="S75" s="2">
        <v>14598.8</v>
      </c>
      <c r="U75" s="57"/>
    </row>
    <row r="76" spans="19:19">
      <c r="S76" s="2">
        <v>34560</v>
      </c>
    </row>
    <row r="77" spans="19:19">
      <c r="S77" s="2">
        <v>3068</v>
      </c>
    </row>
    <row r="78" spans="19:19">
      <c r="S78" s="2">
        <v>3645</v>
      </c>
    </row>
    <row r="79" spans="19:19">
      <c r="S79" s="2">
        <f>+S78+S77+S76+S75-S74</f>
        <v>-0.19999999999709</v>
      </c>
    </row>
  </sheetData>
  <autoFilter xmlns:etc="http://www.wps.cn/officeDocument/2017/etCustomData" ref="A6:X68" etc:filterBottomFollowUsedRange="0">
    <sortState ref="A6:X68">
      <sortCondition ref="C6:C77"/>
    </sortState>
    <extLst/>
  </autoFilter>
  <mergeCells count="1">
    <mergeCell ref="A2:X4"/>
  </mergeCells>
  <conditionalFormatting sqref="S6:T6">
    <cfRule type="cellIs" dxfId="1" priority="117" operator="equal">
      <formula>21848</formula>
    </cfRule>
  </conditionalFormatting>
  <conditionalFormatting sqref="U6:V6">
    <cfRule type="cellIs" dxfId="1" priority="116" operator="equal">
      <formula>21848</formula>
    </cfRule>
  </conditionalFormatting>
  <conditionalFormatting sqref="X49">
    <cfRule type="timePeriod" dxfId="2" priority="79" timePeriod="thisMonth">
      <formula>AND(MONTH(X49)=MONTH(TODAY()),YEAR(X49)=YEAR(TODAY()))</formula>
    </cfRule>
    <cfRule type="timePeriod" priority="80" timePeriod="thisMonth">
      <formula>AND(MONTH(X49)=MONTH(TODAY()),YEAR(X49)=YEAR(TODAY()))</formula>
    </cfRule>
  </conditionalFormatting>
  <conditionalFormatting sqref="X59">
    <cfRule type="timePeriod" dxfId="2" priority="73" timePeriod="thisMonth">
      <formula>AND(MONTH(X59)=MONTH(TODAY()),YEAR(X59)=YEAR(TODAY()))</formula>
    </cfRule>
    <cfRule type="timePeriod" priority="74" timePeriod="thisMonth">
      <formula>AND(MONTH(X59)=MONTH(TODAY()),YEAR(X59)=YEAR(TODAY()))</formula>
    </cfRule>
  </conditionalFormatting>
  <conditionalFormatting sqref="X1:X6">
    <cfRule type="timePeriod" dxfId="2" priority="112" timePeriod="nextWeek">
      <formula>AND(ROUNDDOWN(X1,0)-TODAY()&gt;7-WEEKDAY(TODAY()),ROUNDDOWN(X1,0)-TODAY()&lt;15-WEEKDAY(TODAY()))</formula>
    </cfRule>
    <cfRule type="timePeriod" dxfId="3" priority="113" timePeriod="nextWeek">
      <formula>AND(ROUNDDOWN(X1,0)-TODAY()&gt;7-WEEKDAY(TODAY()),ROUNDDOWN(X1,0)-TODAY()&lt;15-WEEKDAY(TODAY()))</formula>
    </cfRule>
  </conditionalFormatting>
  <conditionalFormatting sqref="X7:X9">
    <cfRule type="timePeriod" dxfId="2" priority="61" timePeriod="thisMonth">
      <formula>AND(MONTH(X7)=MONTH(TODAY()),YEAR(X7)=YEAR(TODAY()))</formula>
    </cfRule>
    <cfRule type="timePeriod" priority="62" timePeriod="thisMonth">
      <formula>AND(MONTH(X7)=MONTH(TODAY()),YEAR(X7)=YEAR(TODAY()))</formula>
    </cfRule>
  </conditionalFormatting>
  <conditionalFormatting sqref="X60:X61">
    <cfRule type="timePeriod" dxfId="2" priority="77" timePeriod="thisMonth">
      <formula>AND(MONTH(X60)=MONTH(TODAY()),YEAR(X60)=YEAR(TODAY()))</formula>
    </cfRule>
    <cfRule type="timePeriod" priority="78" timePeriod="thisMonth">
      <formula>AND(MONTH(X60)=MONTH(TODAY()),YEAR(X60)=YEAR(TODAY()))</formula>
    </cfRule>
  </conditionalFormatting>
  <conditionalFormatting sqref="X63:X64">
    <cfRule type="timePeriod" dxfId="2" priority="83" timePeriod="thisMonth">
      <formula>AND(MONTH(X63)=MONTH(TODAY()),YEAR(X63)=YEAR(TODAY()))</formula>
    </cfRule>
    <cfRule type="timePeriod" priority="84" timePeriod="thisMonth">
      <formula>AND(MONTH(X63)=MONTH(TODAY()),YEAR(X63)=YEAR(TODAY()))</formula>
    </cfRule>
  </conditionalFormatting>
  <conditionalFormatting sqref="X66:X67">
    <cfRule type="timePeriod" dxfId="2" priority="5" timePeriod="thisMonth">
      <formula>AND(MONTH(X66)=MONTH(TODAY()),YEAR(X66)=YEAR(TODAY()))</formula>
    </cfRule>
    <cfRule type="timePeriod" priority="6" timePeriod="thisMonth">
      <formula>AND(MONTH(X66)=MONTH(TODAY()),YEAR(X66)=YEAR(TODAY()))</formula>
    </cfRule>
  </conditionalFormatting>
  <conditionalFormatting sqref="X1 X5:X6">
    <cfRule type="cellIs" dxfId="1" priority="119" operator="equal">
      <formula>21848</formula>
    </cfRule>
  </conditionalFormatting>
  <conditionalFormatting sqref="X7:X65 X68:X1048576">
    <cfRule type="timePeriod" dxfId="2" priority="97" timePeriod="thisMonth">
      <formula>AND(MONTH(X7)=MONTH(TODAY()),YEAR(X7)=YEAR(TODAY()))</formula>
    </cfRule>
    <cfRule type="timePeriod" priority="98" timePeriod="thisMonth">
      <formula>AND(MONTH(X7)=MONTH(TODAY()),YEAR(X7)=YEAR(TODAY()))</formula>
    </cfRule>
  </conditionalFormatting>
  <pageMargins left="0.7" right="0.7" top="0.75" bottom="0.75" header="0.3" footer="0.3"/>
  <pageSetup paperSize="9" scale="9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Database Sheet</vt:lpstr>
      <vt:lpstr>Party Master</vt:lpstr>
      <vt:lpstr>Stock Statement</vt:lpstr>
      <vt:lpstr>Purchase Order</vt:lpstr>
      <vt:lpstr>Purchase</vt:lpstr>
      <vt:lpstr>GST INVOICE</vt:lpstr>
      <vt:lpstr>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Janhavi Palmate</cp:lastModifiedBy>
  <dcterms:created xsi:type="dcterms:W3CDTF">2019-04-10T12:12:00Z</dcterms:created>
  <cp:lastPrinted>2024-01-14T08:26:00Z</cp:lastPrinted>
  <dcterms:modified xsi:type="dcterms:W3CDTF">2025-07-08T17:31:04Z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57DA74733C6E41F2BD16C45186FEC795_12</vt:lpwstr>
  </property>
  <property fmtid="{D5CDD505-2E9C-101B-9397-08002B2CF9AE}" pid="3" name="KSOProductBuildVer">
    <vt:lpwstr>1033-12.2.0.21546</vt:lpwstr>
  </property>
</Properties>
</file>