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D69D598B-557D-454F-A85C-931C0FF63827}" xr6:coauthVersionLast="47" xr6:coauthVersionMax="47" xr10:uidLastSave="{00000000-0000-0000-0000-000000000000}"/>
  <workbookProtection workbookAlgorithmName="SHA-512" workbookHashValue="7KTnyApQtZoJq/x/4aaqVdOXoHInGJSOkLX/RRzo86nKFJnHJmEDza/pARl2FookANrBw5U5CmBHnTY19t5VGA==" workbookSaltValue="+EVZtPDfoyUQ4xNAniGxAw==" workbookSpinCount="100000" lockStructure="1"/>
  <bookViews>
    <workbookView xWindow="-108" yWindow="-108" windowWidth="23256" windowHeight="12456" activeTab="1" xr2:uid="{9FF800ED-B542-814E-BDBE-433F15760680}"/>
  </bookViews>
  <sheets>
    <sheet name="Returns &amp; Asset Mix assumption" sheetId="3" r:id="rId1"/>
    <sheet name="FIRE number" sheetId="6" r:id="rId2"/>
    <sheet name="Cash flows" sheetId="5" r:id="rId3"/>
    <sheet name="Net worth" sheetId="4" r:id="rId4"/>
    <sheet name="Financial Goals" sheetId="7" r:id="rId5"/>
    <sheet name="Real estate &amp; REIT" sheetId="18" r:id="rId6"/>
    <sheet name="Domestic Equity" sheetId="22" r:id="rId7"/>
    <sheet name="US equity" sheetId="29" r:id="rId8"/>
    <sheet name="Debt" sheetId="9" r:id="rId9"/>
    <sheet name="Gold" sheetId="16" r:id="rId10"/>
    <sheet name="Crypto" sheetId="28" r:id="rId11"/>
    <sheet name="Miscellaneous" sheetId="30" r:id="rId12"/>
  </sheets>
  <definedNames>
    <definedName name="_xlnm._FilterDatabase" localSheetId="4" hidden="1">'Financial Goals'!$B$8:$K$23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7" l="1"/>
  <c r="I19" i="7"/>
  <c r="I20" i="7"/>
  <c r="I21" i="7"/>
  <c r="I22" i="7"/>
  <c r="I23" i="7"/>
  <c r="I9" i="7"/>
  <c r="K25" i="7"/>
  <c r="C15" i="4" l="1"/>
  <c r="C11" i="30"/>
  <c r="C12" i="4"/>
  <c r="C15" i="29"/>
  <c r="C24" i="4" s="1"/>
  <c r="C12" i="28"/>
  <c r="C27" i="4" s="1"/>
  <c r="F15" i="4" s="1"/>
  <c r="C8" i="9"/>
  <c r="C25" i="4" s="1"/>
  <c r="U26" i="22"/>
  <c r="R26" i="22"/>
  <c r="J24" i="22"/>
  <c r="C23" i="4" s="1"/>
  <c r="J23" i="22"/>
  <c r="J22" i="22"/>
  <c r="J21" i="22"/>
  <c r="C26" i="4"/>
  <c r="C28" i="4"/>
  <c r="J10" i="4" s="1"/>
  <c r="L8" i="9"/>
  <c r="C16" i="4" s="1"/>
  <c r="I8" i="9"/>
  <c r="C20" i="4" s="1"/>
  <c r="F8" i="9"/>
  <c r="C19" i="4" s="1"/>
  <c r="C14" i="4"/>
  <c r="C13" i="4"/>
  <c r="C14" i="16"/>
  <c r="J14" i="4" l="1"/>
  <c r="F13" i="4"/>
  <c r="F12" i="4"/>
  <c r="J12" i="4"/>
  <c r="N24" i="22"/>
  <c r="C22" i="4"/>
  <c r="J13" i="4"/>
  <c r="J25" i="22"/>
  <c r="K23" i="22" s="1"/>
  <c r="F14" i="4"/>
  <c r="V26" i="22"/>
  <c r="T26" i="22"/>
  <c r="S26" i="22"/>
  <c r="K24" i="22" l="1"/>
  <c r="K22" i="22"/>
  <c r="K21" i="22"/>
  <c r="C21" i="22"/>
  <c r="C23" i="22"/>
  <c r="C22" i="22"/>
  <c r="C11" i="4"/>
  <c r="F10" i="4" s="1"/>
  <c r="C14" i="18"/>
  <c r="J15" i="4"/>
  <c r="N22" i="22" l="1"/>
  <c r="N23" i="22"/>
  <c r="N21" i="22"/>
  <c r="C24" i="22"/>
  <c r="C21" i="4" s="1"/>
  <c r="F16" i="3"/>
  <c r="E10" i="7"/>
  <c r="E11" i="7"/>
  <c r="N11" i="7" s="1"/>
  <c r="E12" i="7"/>
  <c r="E13" i="7"/>
  <c r="E14" i="7"/>
  <c r="E15" i="7"/>
  <c r="E16" i="7"/>
  <c r="E17" i="7"/>
  <c r="E18" i="7"/>
  <c r="E19" i="7"/>
  <c r="N19" i="7" s="1"/>
  <c r="E20" i="7"/>
  <c r="M20" i="7" s="1"/>
  <c r="E21" i="7"/>
  <c r="M21" i="7" s="1"/>
  <c r="E22" i="7"/>
  <c r="M22" i="7" s="1"/>
  <c r="E23" i="7"/>
  <c r="R23" i="7" s="1"/>
  <c r="E9" i="7"/>
  <c r="Q9" i="7" s="1"/>
  <c r="G25" i="7"/>
  <c r="C22" i="5"/>
  <c r="D25" i="4" s="1"/>
  <c r="D16" i="3"/>
  <c r="E16" i="3" s="1"/>
  <c r="N25" i="22" l="1"/>
  <c r="O24" i="22" s="1"/>
  <c r="O18" i="7"/>
  <c r="I18" i="7"/>
  <c r="O10" i="7"/>
  <c r="I10" i="7"/>
  <c r="P17" i="7"/>
  <c r="I17" i="7"/>
  <c r="Q16" i="7"/>
  <c r="I16" i="7"/>
  <c r="R15" i="7"/>
  <c r="I15" i="7"/>
  <c r="M14" i="7"/>
  <c r="I14" i="7"/>
  <c r="M13" i="7"/>
  <c r="I13" i="7"/>
  <c r="M12" i="7"/>
  <c r="I12" i="7"/>
  <c r="N15" i="4"/>
  <c r="N14" i="4"/>
  <c r="N13" i="4"/>
  <c r="N12" i="4"/>
  <c r="N11" i="4"/>
  <c r="N10" i="4"/>
  <c r="D22" i="22"/>
  <c r="D23" i="22"/>
  <c r="D21" i="22"/>
  <c r="J11" i="4"/>
  <c r="J16" i="4" s="1"/>
  <c r="C29" i="4"/>
  <c r="G26" i="7" s="1"/>
  <c r="G27" i="7" s="1"/>
  <c r="F11" i="4"/>
  <c r="O17" i="7"/>
  <c r="P14" i="7"/>
  <c r="Q15" i="7"/>
  <c r="Q14" i="7"/>
  <c r="R14" i="7"/>
  <c r="N17" i="7"/>
  <c r="N10" i="7"/>
  <c r="N22" i="7"/>
  <c r="O23" i="7"/>
  <c r="P22" i="7"/>
  <c r="R22" i="7"/>
  <c r="N18" i="7"/>
  <c r="O22" i="7"/>
  <c r="P16" i="7"/>
  <c r="R21" i="7"/>
  <c r="N9" i="7"/>
  <c r="P9" i="7"/>
  <c r="O16" i="7"/>
  <c r="O9" i="7"/>
  <c r="N23" i="7"/>
  <c r="P23" i="7"/>
  <c r="P15" i="7"/>
  <c r="N16" i="7"/>
  <c r="N15" i="7"/>
  <c r="O15" i="7"/>
  <c r="Q23" i="7"/>
  <c r="N14" i="7"/>
  <c r="O14" i="7"/>
  <c r="Q22" i="7"/>
  <c r="R13" i="7"/>
  <c r="Q21" i="7"/>
  <c r="Q13" i="7"/>
  <c r="R20" i="7"/>
  <c r="R12" i="7"/>
  <c r="P21" i="7"/>
  <c r="P13" i="7"/>
  <c r="Q20" i="7"/>
  <c r="Q12" i="7"/>
  <c r="R19" i="7"/>
  <c r="R11" i="7"/>
  <c r="M11" i="7"/>
  <c r="O13" i="7"/>
  <c r="R10" i="7"/>
  <c r="M17" i="7"/>
  <c r="O21" i="7"/>
  <c r="P20" i="7"/>
  <c r="P12" i="7"/>
  <c r="Q19" i="7"/>
  <c r="Q11" i="7"/>
  <c r="R18" i="7"/>
  <c r="N21" i="7"/>
  <c r="N13" i="7"/>
  <c r="O20" i="7"/>
  <c r="O12" i="7"/>
  <c r="P19" i="7"/>
  <c r="P11" i="7"/>
  <c r="Q18" i="7"/>
  <c r="Q10" i="7"/>
  <c r="R17" i="7"/>
  <c r="M18" i="7"/>
  <c r="M10" i="7"/>
  <c r="M9" i="7"/>
  <c r="M16" i="7"/>
  <c r="N20" i="7"/>
  <c r="N12" i="7"/>
  <c r="O19" i="7"/>
  <c r="O11" i="7"/>
  <c r="P18" i="7"/>
  <c r="P10" i="7"/>
  <c r="Q17" i="7"/>
  <c r="R9" i="7"/>
  <c r="R16" i="7"/>
  <c r="M19" i="7"/>
  <c r="M23" i="7"/>
  <c r="M15" i="7"/>
  <c r="O25" i="22"/>
  <c r="M25" i="7" l="1"/>
  <c r="W27" i="22" s="1"/>
  <c r="W28" i="22" s="1"/>
  <c r="G28" i="7"/>
  <c r="K14" i="4"/>
  <c r="K10" i="4"/>
  <c r="K15" i="4"/>
  <c r="K25" i="22"/>
  <c r="O22" i="22"/>
  <c r="O21" i="22"/>
  <c r="O23" i="22"/>
  <c r="D24" i="22"/>
  <c r="N25" i="7"/>
  <c r="R25" i="7"/>
  <c r="O25" i="7"/>
  <c r="P25" i="7"/>
  <c r="Q25" i="7"/>
  <c r="C17" i="4"/>
  <c r="C30" i="4" s="1"/>
  <c r="C16" i="6"/>
  <c r="C17" i="6" s="1"/>
  <c r="C14" i="5"/>
  <c r="C40" i="4"/>
  <c r="N16" i="4" l="1"/>
  <c r="O11" i="4" s="1"/>
  <c r="C5" i="4"/>
  <c r="M26" i="7"/>
  <c r="Q26" i="7"/>
  <c r="O26" i="7"/>
  <c r="R26" i="7"/>
  <c r="P26" i="7"/>
  <c r="N26" i="7"/>
  <c r="C6" i="4"/>
  <c r="C24" i="5"/>
  <c r="F16" i="4"/>
  <c r="C21" i="6"/>
  <c r="C20" i="6"/>
  <c r="C24" i="6" s="1"/>
  <c r="C19" i="6"/>
  <c r="O13" i="4" l="1"/>
  <c r="O15" i="4"/>
  <c r="O14" i="4"/>
  <c r="O12" i="4"/>
  <c r="O10" i="4"/>
  <c r="C26" i="5"/>
  <c r="K26" i="7"/>
  <c r="K27" i="7" s="1"/>
  <c r="G15" i="4"/>
  <c r="G12" i="4"/>
  <c r="K28" i="7"/>
  <c r="G14" i="4"/>
  <c r="G13" i="4"/>
  <c r="G10" i="4"/>
  <c r="G11" i="4"/>
  <c r="O16" i="4" l="1"/>
  <c r="G16" i="4"/>
  <c r="K11" i="4" l="1"/>
  <c r="K12" i="4"/>
  <c r="K13" i="4"/>
  <c r="K16" i="4" l="1"/>
</calcChain>
</file>

<file path=xl/sharedStrings.xml><?xml version="1.0" encoding="utf-8"?>
<sst xmlns="http://schemas.openxmlformats.org/spreadsheetml/2006/main" count="312" uniqueCount="164">
  <si>
    <t>Debt</t>
  </si>
  <si>
    <t>Crypto</t>
  </si>
  <si>
    <t>Real Estate / REITs</t>
  </si>
  <si>
    <t>Asset class</t>
  </si>
  <si>
    <t>Expected returns</t>
  </si>
  <si>
    <t>Domestic equity</t>
  </si>
  <si>
    <t>-</t>
  </si>
  <si>
    <t>Effective returns</t>
  </si>
  <si>
    <t>Assets</t>
  </si>
  <si>
    <t>Liabilities</t>
  </si>
  <si>
    <t>Particulars</t>
  </si>
  <si>
    <t>Value (INR)</t>
  </si>
  <si>
    <t>Home</t>
  </si>
  <si>
    <t>Home loan</t>
  </si>
  <si>
    <t>Other real estate</t>
  </si>
  <si>
    <t>Credit card</t>
  </si>
  <si>
    <t>Personal/Gold loan</t>
  </si>
  <si>
    <t>Education loan</t>
  </si>
  <si>
    <t>Car loan</t>
  </si>
  <si>
    <t>Total Liabilities</t>
  </si>
  <si>
    <t>Jewellery</t>
  </si>
  <si>
    <t>Total Assets</t>
  </si>
  <si>
    <t>Inflows</t>
  </si>
  <si>
    <t>Business income</t>
  </si>
  <si>
    <t>Rental income</t>
  </si>
  <si>
    <t>Others</t>
  </si>
  <si>
    <t>Total</t>
  </si>
  <si>
    <t>Monthly expenses</t>
  </si>
  <si>
    <t>Outflows</t>
  </si>
  <si>
    <t>Investing surplus</t>
  </si>
  <si>
    <t>Post-tax salary</t>
  </si>
  <si>
    <t>Retirement age</t>
  </si>
  <si>
    <t>Inflation</t>
  </si>
  <si>
    <t>Desired monthly expenses (today)</t>
  </si>
  <si>
    <t>Current age</t>
  </si>
  <si>
    <t>Yearly expenses (retirement age)</t>
  </si>
  <si>
    <t>Yearly expenses (today)</t>
  </si>
  <si>
    <t>Lean FIRE</t>
  </si>
  <si>
    <t>FIRE</t>
  </si>
  <si>
    <t>FAT FIRE</t>
  </si>
  <si>
    <t>Fixed deposit</t>
  </si>
  <si>
    <t>Debt funds</t>
  </si>
  <si>
    <t>EPF / PPF / VPF</t>
  </si>
  <si>
    <t>Illiquid</t>
  </si>
  <si>
    <t>SGB</t>
  </si>
  <si>
    <t>ULIPs</t>
  </si>
  <si>
    <t>Gold ETF, digital gold etc</t>
  </si>
  <si>
    <t>Liquid</t>
  </si>
  <si>
    <t>Other liabilities</t>
  </si>
  <si>
    <t>Gold</t>
  </si>
  <si>
    <t>% contribution</t>
  </si>
  <si>
    <t>US equity</t>
  </si>
  <si>
    <t>Goal</t>
  </si>
  <si>
    <t>Goal Type</t>
  </si>
  <si>
    <t>Amount required (today)</t>
  </si>
  <si>
    <t>Amount required (future)</t>
  </si>
  <si>
    <t>Priority</t>
  </si>
  <si>
    <t>Amount available (today)</t>
  </si>
  <si>
    <t>Retirement</t>
  </si>
  <si>
    <t>Kid's education</t>
  </si>
  <si>
    <t>Kid's marriage</t>
  </si>
  <si>
    <t>Car</t>
  </si>
  <si>
    <t>Marriage</t>
  </si>
  <si>
    <t>Vacations</t>
  </si>
  <si>
    <t>Higher Education</t>
  </si>
  <si>
    <t>Goal inflation</t>
  </si>
  <si>
    <t>Emergency Funds</t>
  </si>
  <si>
    <t>SIP required</t>
  </si>
  <si>
    <t>Home loan down payment</t>
  </si>
  <si>
    <t>Step up</t>
  </si>
  <si>
    <t>&lt; 3 years</t>
  </si>
  <si>
    <t>Insurance premiums</t>
  </si>
  <si>
    <t>Loan EMIs</t>
  </si>
  <si>
    <t>Compulsory investments (eg. ULIPs, chit funds etc.)</t>
  </si>
  <si>
    <t>Electronic gadget / Clothes</t>
  </si>
  <si>
    <t>SIP Asset allocation</t>
  </si>
  <si>
    <t>Gold (SGB / ETF)</t>
  </si>
  <si>
    <t>&gt; 6 years</t>
  </si>
  <si>
    <t>3-5 years</t>
  </si>
  <si>
    <t>Short Term</t>
  </si>
  <si>
    <t>Medium Term</t>
  </si>
  <si>
    <t>Long Term</t>
  </si>
  <si>
    <t>Max</t>
  </si>
  <si>
    <t>PF contribution</t>
  </si>
  <si>
    <t>Total Illiquid</t>
  </si>
  <si>
    <t>Total Liquid</t>
  </si>
  <si>
    <t>Domestic Stock market</t>
  </si>
  <si>
    <t>Domestic Equity mutual funds</t>
  </si>
  <si>
    <t>Domestic Equity</t>
  </si>
  <si>
    <t>US Equity</t>
  </si>
  <si>
    <t>Real Estate / Reits</t>
  </si>
  <si>
    <t>Total Asset Summary</t>
  </si>
  <si>
    <t>Liquid Assets</t>
  </si>
  <si>
    <t>Total Net Worth</t>
  </si>
  <si>
    <t>REITs</t>
  </si>
  <si>
    <t>Best REITs in India</t>
  </si>
  <si>
    <t>Stocks</t>
  </si>
  <si>
    <t>Category</t>
  </si>
  <si>
    <t>Largecap</t>
  </si>
  <si>
    <t>Midcap</t>
  </si>
  <si>
    <t>Smallcap</t>
  </si>
  <si>
    <t>ITC</t>
  </si>
  <si>
    <t>Reliance</t>
  </si>
  <si>
    <t>HUL</t>
  </si>
  <si>
    <t>Axis smallcap fund</t>
  </si>
  <si>
    <t>Axis midcap fund</t>
  </si>
  <si>
    <t>Mirae asset tax saver fund</t>
  </si>
  <si>
    <t>Quant active fund</t>
  </si>
  <si>
    <t>Navi Nifty 50</t>
  </si>
  <si>
    <t>Escorts</t>
  </si>
  <si>
    <t>Thyrocare technologies</t>
  </si>
  <si>
    <t>Mutual fund / ETF / Smallcase</t>
  </si>
  <si>
    <t>20-30</t>
  </si>
  <si>
    <t>30-45</t>
  </si>
  <si>
    <t>45-65</t>
  </si>
  <si>
    <t>&gt;65</t>
  </si>
  <si>
    <t>Current Value (INR)</t>
  </si>
  <si>
    <t>SIP</t>
  </si>
  <si>
    <t>Company size</t>
  </si>
  <si>
    <t>Current value (INR)</t>
  </si>
  <si>
    <t>Contribution %</t>
  </si>
  <si>
    <t>SIP allocator</t>
  </si>
  <si>
    <t>Age</t>
  </si>
  <si>
    <t>Mutual fund / ETF / Smallcase / Stock</t>
  </si>
  <si>
    <t>Gold ETF / Digital gold</t>
  </si>
  <si>
    <t>Fixed Deposit</t>
  </si>
  <si>
    <t>Bank name</t>
  </si>
  <si>
    <t>Canara Bank</t>
  </si>
  <si>
    <t>ICICI Bank</t>
  </si>
  <si>
    <t>Name</t>
  </si>
  <si>
    <t>HDFC Corporate Bond Fund</t>
  </si>
  <si>
    <t>Government investments</t>
  </si>
  <si>
    <t>EPF</t>
  </si>
  <si>
    <t>VPF</t>
  </si>
  <si>
    <t>PPF</t>
  </si>
  <si>
    <t>Sukanya Samridhi</t>
  </si>
  <si>
    <t>Senior citizen savings scheme</t>
  </si>
  <si>
    <t>Input cells</t>
  </si>
  <si>
    <t>Formula cells (you cannot edit)</t>
  </si>
  <si>
    <t>NPS</t>
  </si>
  <si>
    <t xml:space="preserve"> </t>
  </si>
  <si>
    <t>S&amp;P500 ETF</t>
  </si>
  <si>
    <t>PGIM India midcap fund</t>
  </si>
  <si>
    <t>Cash from equity mutual funds</t>
  </si>
  <si>
    <t>Cash</t>
  </si>
  <si>
    <t>Axis Small cap fund</t>
  </si>
  <si>
    <t>UTI Liquid fund</t>
  </si>
  <si>
    <t>ICICI savings</t>
  </si>
  <si>
    <t>HDFC savings</t>
  </si>
  <si>
    <t>Other ETFs</t>
  </si>
  <si>
    <t>US Mutual funds</t>
  </si>
  <si>
    <t>This workbook along with all its contents are the intellectual property of Finance with Sharan, distribution of which is strictly prohibited.</t>
  </si>
  <si>
    <t>Liquid (savings account, cash, liquid fund)</t>
  </si>
  <si>
    <t>Motilal Oswal Nifty 50</t>
  </si>
  <si>
    <t>SBI Nifty Next 50</t>
  </si>
  <si>
    <t>IDFC Cash fund</t>
  </si>
  <si>
    <t>Kotak Corporate bond fund</t>
  </si>
  <si>
    <t>Available</t>
  </si>
  <si>
    <t>Time (Years left for goal)</t>
  </si>
  <si>
    <t>Current Investable Asset Allocation</t>
  </si>
  <si>
    <t>Required Investable Asset Allocation</t>
  </si>
  <si>
    <t>Mutual fund components</t>
  </si>
  <si>
    <t>Desired Coast FIRE Age</t>
  </si>
  <si>
    <t>Coast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</si>
</sst>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8"/>
      <color theme="1"/>
      <name val="Times New Roman"/>
      <family val="1"/>
    </font>
    <font>
      <b/>
      <i/>
      <sz val="10"/>
      <color theme="1"/>
      <name val="Calibri"/>
      <family val="2"/>
      <scheme val="minor"/>
    </font>
    <font>
      <sz val="7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B6D7A8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8" tint="0.59999389629810485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6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0" fontId="13" fillId="0" borderId="0" applyNumberFormat="0" applyFill="0" applyBorder="0" applyAlignment="0" applyProtection="0"/>
  </cellStyleXfs>
  <cellXfs count="162">
    <xf numFmtId="0" fontId="0" fillId="0" borderId="0" xfId="0"/>
    <xf numFmtId="0" fontId="1" fillId="7" borderId="0" xfId="3" applyFont="1" applyFill="1" applyBorder="1" applyAlignment="1">
      <alignment horizontal="center"/>
    </xf>
    <xf numFmtId="0" fontId="0" fillId="10" borderId="0" xfId="0" applyFill="1"/>
    <xf numFmtId="166" fontId="0" fillId="10" borderId="0" xfId="2" applyNumberFormat="1" applyFont="1" applyFill="1"/>
    <xf numFmtId="0" fontId="1" fillId="7" borderId="0" xfId="3" applyFont="1" applyFill="1" applyBorder="1"/>
    <xf numFmtId="0" fontId="3" fillId="0" borderId="0" xfId="0" applyFont="1"/>
    <xf numFmtId="0" fontId="1" fillId="7" borderId="0" xfId="3" applyFont="1" applyFill="1" applyBorder="1" applyAlignment="1"/>
    <xf numFmtId="9" fontId="0" fillId="10" borderId="0" xfId="1" applyFont="1" applyFill="1"/>
    <xf numFmtId="0" fontId="9" fillId="5" borderId="0" xfId="0" applyFont="1" applyFill="1" applyProtection="1">
      <protection hidden="1"/>
    </xf>
    <xf numFmtId="0" fontId="9" fillId="4" borderId="0" xfId="0" applyFont="1" applyFill="1" applyProtection="1"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1" fillId="0" borderId="0" xfId="0" applyFont="1"/>
    <xf numFmtId="10" fontId="1" fillId="2" borderId="0" xfId="1" applyNumberFormat="1" applyFont="1" applyFill="1" applyAlignment="1">
      <alignment horizontal="center"/>
    </xf>
    <xf numFmtId="0" fontId="11" fillId="0" borderId="0" xfId="0" applyFont="1" applyAlignment="1" applyProtection="1">
      <alignment horizontal="left" wrapText="1"/>
      <protection hidden="1"/>
    </xf>
    <xf numFmtId="0" fontId="16" fillId="0" borderId="0" xfId="3" applyFont="1" applyAlignment="1" applyProtection="1">
      <alignment horizontal="left" vertical="center" wrapText="1"/>
      <protection hidden="1"/>
    </xf>
    <xf numFmtId="0" fontId="16" fillId="0" borderId="0" xfId="3" applyFont="1" applyAlignment="1" applyProtection="1">
      <alignment horizontal="left" vertical="top" wrapText="1"/>
      <protection hidden="1"/>
    </xf>
    <xf numFmtId="0" fontId="11" fillId="0" borderId="0" xfId="0" applyFont="1" applyAlignment="1" applyProtection="1">
      <alignment wrapText="1"/>
      <protection hidden="1"/>
    </xf>
    <xf numFmtId="0" fontId="16" fillId="0" borderId="0" xfId="3" applyFont="1" applyAlignment="1" applyProtection="1">
      <alignment vertical="top" wrapText="1"/>
      <protection hidden="1"/>
    </xf>
    <xf numFmtId="0" fontId="11" fillId="0" borderId="0" xfId="0" applyFont="1" applyAlignment="1" applyProtection="1">
      <protection hidden="1"/>
    </xf>
    <xf numFmtId="0" fontId="11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left" wrapText="1"/>
      <protection hidden="1"/>
    </xf>
    <xf numFmtId="0" fontId="17" fillId="0" borderId="0" xfId="0" applyFont="1" applyAlignment="1" applyProtection="1">
      <alignment horizontal="left"/>
      <protection hidden="1"/>
    </xf>
    <xf numFmtId="0" fontId="0" fillId="0" borderId="0" xfId="0" applyFill="1"/>
    <xf numFmtId="166" fontId="0" fillId="0" borderId="0" xfId="2" applyNumberFormat="1" applyFont="1" applyFill="1"/>
    <xf numFmtId="10" fontId="0" fillId="0" borderId="0" xfId="1" applyNumberFormat="1" applyFont="1" applyFill="1"/>
    <xf numFmtId="0" fontId="18" fillId="0" borderId="0" xfId="3" applyFont="1" applyAlignment="1" applyProtection="1">
      <alignment horizontal="left" vertical="top" wrapText="1"/>
      <protection hidden="1"/>
    </xf>
    <xf numFmtId="0" fontId="0" fillId="0" borderId="0" xfId="0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1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3" borderId="0" xfId="0" applyFill="1" applyBorder="1" applyProtection="1">
      <protection hidden="1"/>
    </xf>
    <xf numFmtId="9" fontId="0" fillId="3" borderId="0" xfId="0" applyNumberFormat="1" applyFill="1" applyBorder="1" applyProtection="1">
      <protection hidden="1"/>
    </xf>
    <xf numFmtId="0" fontId="3" fillId="3" borderId="0" xfId="0" applyFont="1" applyFill="1" applyBorder="1" applyProtection="1">
      <protection hidden="1"/>
    </xf>
    <xf numFmtId="165" fontId="3" fillId="4" borderId="0" xfId="1" applyNumberFormat="1" applyFont="1" applyFill="1" applyBorder="1" applyProtection="1">
      <protection hidden="1"/>
    </xf>
    <xf numFmtId="165" fontId="3" fillId="4" borderId="0" xfId="0" applyNumberFormat="1" applyFont="1" applyFill="1" applyBorder="1" applyProtection="1">
      <protection hidden="1"/>
    </xf>
    <xf numFmtId="165" fontId="0" fillId="0" borderId="0" xfId="1" applyNumberFormat="1" applyFont="1" applyProtection="1">
      <protection hidden="1"/>
    </xf>
    <xf numFmtId="9" fontId="0" fillId="5" borderId="0" xfId="1" applyFont="1" applyFill="1" applyBorder="1" applyProtection="1">
      <protection locked="0" hidden="1"/>
    </xf>
    <xf numFmtId="0" fontId="11" fillId="0" borderId="0" xfId="0" applyFont="1" applyProtection="1">
      <protection hidden="1"/>
    </xf>
    <xf numFmtId="0" fontId="1" fillId="7" borderId="0" xfId="3" applyFont="1" applyFill="1" applyBorder="1" applyProtection="1">
      <protection hidden="1"/>
    </xf>
    <xf numFmtId="0" fontId="1" fillId="7" borderId="0" xfId="3" applyFont="1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166" fontId="0" fillId="4" borderId="0" xfId="2" applyNumberFormat="1" applyFont="1" applyFill="1" applyBorder="1" applyProtection="1">
      <protection hidden="1"/>
    </xf>
    <xf numFmtId="166" fontId="0" fillId="4" borderId="0" xfId="0" applyNumberFormat="1" applyFill="1" applyBorder="1" applyProtection="1">
      <protection hidden="1"/>
    </xf>
    <xf numFmtId="166" fontId="3" fillId="4" borderId="0" xfId="0" applyNumberFormat="1" applyFont="1" applyFill="1" applyBorder="1" applyProtection="1">
      <protection hidden="1"/>
    </xf>
    <xf numFmtId="3" fontId="0" fillId="5" borderId="0" xfId="0" applyNumberFormat="1" applyFill="1" applyBorder="1" applyProtection="1">
      <protection locked="0" hidden="1"/>
    </xf>
    <xf numFmtId="0" fontId="0" fillId="5" borderId="0" xfId="0" applyFill="1" applyBorder="1" applyProtection="1">
      <protection locked="0" hidden="1"/>
    </xf>
    <xf numFmtId="9" fontId="0" fillId="5" borderId="0" xfId="0" applyNumberFormat="1" applyFill="1" applyBorder="1" applyProtection="1">
      <protection locked="0" hidden="1"/>
    </xf>
    <xf numFmtId="0" fontId="5" fillId="2" borderId="0" xfId="0" applyFont="1" applyFill="1" applyBorder="1" applyProtection="1">
      <protection hidden="1"/>
    </xf>
    <xf numFmtId="166" fontId="0" fillId="5" borderId="0" xfId="2" applyNumberFormat="1" applyFont="1" applyFill="1" applyBorder="1" applyProtection="1">
      <protection locked="0" hidden="1"/>
    </xf>
    <xf numFmtId="166" fontId="3" fillId="4" borderId="0" xfId="2" applyNumberFormat="1" applyFont="1" applyFill="1" applyBorder="1" applyProtection="1">
      <protection hidden="1"/>
    </xf>
    <xf numFmtId="0" fontId="0" fillId="3" borderId="0" xfId="0" applyFill="1" applyBorder="1" applyAlignment="1" applyProtection="1">
      <alignment wrapText="1"/>
      <protection hidden="1"/>
    </xf>
    <xf numFmtId="166" fontId="0" fillId="5" borderId="0" xfId="2" applyNumberFormat="1" applyFont="1" applyFill="1" applyBorder="1" applyAlignment="1" applyProtection="1">
      <alignment vertical="center"/>
      <protection locked="0" hidden="1"/>
    </xf>
    <xf numFmtId="166" fontId="0" fillId="4" borderId="0" xfId="0" applyNumberFormat="1" applyFont="1" applyFill="1" applyBorder="1" applyProtection="1">
      <protection hidden="1"/>
    </xf>
    <xf numFmtId="0" fontId="1" fillId="6" borderId="0" xfId="3" applyFont="1" applyFill="1" applyAlignment="1" applyProtection="1">
      <alignment horizontal="center"/>
      <protection hidden="1"/>
    </xf>
    <xf numFmtId="0" fontId="2" fillId="6" borderId="0" xfId="3" applyFont="1" applyFill="1" applyAlignment="1" applyProtection="1">
      <alignment horizontal="center"/>
      <protection hidden="1"/>
    </xf>
    <xf numFmtId="0" fontId="6" fillId="0" borderId="0" xfId="3" applyProtection="1">
      <protection hidden="1"/>
    </xf>
    <xf numFmtId="0" fontId="3" fillId="0" borderId="0" xfId="3" applyFont="1" applyProtection="1">
      <protection hidden="1"/>
    </xf>
    <xf numFmtId="3" fontId="3" fillId="11" borderId="0" xfId="3" applyNumberFormat="1" applyFont="1" applyFill="1" applyAlignment="1" applyProtection="1">
      <alignment horizontal="right"/>
      <protection hidden="1"/>
    </xf>
    <xf numFmtId="0" fontId="2" fillId="0" borderId="0" xfId="3" applyFont="1" applyAlignment="1" applyProtection="1">
      <alignment horizontal="center"/>
      <protection hidden="1"/>
    </xf>
    <xf numFmtId="0" fontId="2" fillId="0" borderId="0" xfId="3" applyFont="1" applyProtection="1">
      <protection hidden="1"/>
    </xf>
    <xf numFmtId="0" fontId="1" fillId="7" borderId="2" xfId="3" applyFont="1" applyFill="1" applyBorder="1" applyProtection="1">
      <protection hidden="1"/>
    </xf>
    <xf numFmtId="0" fontId="1" fillId="7" borderId="3" xfId="3" applyFont="1" applyFill="1" applyBorder="1" applyAlignment="1" applyProtection="1">
      <alignment horizontal="center"/>
      <protection hidden="1"/>
    </xf>
    <xf numFmtId="0" fontId="3" fillId="9" borderId="0" xfId="3" applyFont="1" applyFill="1" applyBorder="1" applyProtection="1">
      <protection hidden="1"/>
    </xf>
    <xf numFmtId="0" fontId="3" fillId="9" borderId="0" xfId="3" applyFont="1" applyFill="1" applyBorder="1" applyAlignment="1" applyProtection="1">
      <alignment horizontal="center"/>
      <protection hidden="1"/>
    </xf>
    <xf numFmtId="0" fontId="7" fillId="3" borderId="0" xfId="3" applyFont="1" applyFill="1" applyProtection="1">
      <protection hidden="1"/>
    </xf>
    <xf numFmtId="3" fontId="7" fillId="4" borderId="0" xfId="3" applyNumberFormat="1" applyFont="1" applyFill="1" applyProtection="1">
      <protection hidden="1"/>
    </xf>
    <xf numFmtId="9" fontId="7" fillId="4" borderId="0" xfId="1" applyFont="1" applyFill="1" applyProtection="1">
      <protection hidden="1"/>
    </xf>
    <xf numFmtId="166" fontId="7" fillId="4" borderId="0" xfId="2" applyNumberFormat="1" applyFont="1" applyFill="1" applyProtection="1">
      <protection hidden="1"/>
    </xf>
    <xf numFmtId="0" fontId="2" fillId="3" borderId="0" xfId="3" applyFont="1" applyFill="1" applyBorder="1" applyProtection="1">
      <protection hidden="1"/>
    </xf>
    <xf numFmtId="3" fontId="15" fillId="8" borderId="0" xfId="5" applyNumberFormat="1" applyFont="1" applyFill="1" applyBorder="1" applyProtection="1">
      <protection hidden="1"/>
    </xf>
    <xf numFmtId="0" fontId="10" fillId="3" borderId="0" xfId="3" applyFont="1" applyFill="1" applyProtection="1">
      <protection hidden="1"/>
    </xf>
    <xf numFmtId="3" fontId="10" fillId="4" borderId="0" xfId="3" applyNumberFormat="1" applyFont="1" applyFill="1" applyProtection="1">
      <protection hidden="1"/>
    </xf>
    <xf numFmtId="9" fontId="10" fillId="4" borderId="0" xfId="3" applyNumberFormat="1" applyFont="1" applyFill="1" applyProtection="1">
      <protection hidden="1"/>
    </xf>
    <xf numFmtId="166" fontId="10" fillId="4" borderId="0" xfId="2" applyNumberFormat="1" applyFont="1" applyFill="1" applyProtection="1">
      <protection hidden="1"/>
    </xf>
    <xf numFmtId="0" fontId="3" fillId="3" borderId="0" xfId="3" applyFont="1" applyFill="1" applyBorder="1" applyProtection="1">
      <protection hidden="1"/>
    </xf>
    <xf numFmtId="3" fontId="3" fillId="8" borderId="0" xfId="3" applyNumberFormat="1" applyFont="1" applyFill="1" applyBorder="1" applyProtection="1">
      <protection hidden="1"/>
    </xf>
    <xf numFmtId="164" fontId="14" fillId="0" borderId="0" xfId="2" applyFont="1" applyProtection="1">
      <protection hidden="1"/>
    </xf>
    <xf numFmtId="3" fontId="3" fillId="11" borderId="0" xfId="3" applyNumberFormat="1" applyFont="1" applyFill="1" applyBorder="1" applyAlignment="1" applyProtection="1">
      <alignment horizontal="right"/>
      <protection hidden="1"/>
    </xf>
    <xf numFmtId="0" fontId="7" fillId="0" borderId="0" xfId="3" applyFont="1" applyBorder="1" applyProtection="1">
      <protection hidden="1"/>
    </xf>
    <xf numFmtId="0" fontId="7" fillId="0" borderId="0" xfId="3" applyFont="1" applyProtection="1">
      <protection hidden="1"/>
    </xf>
    <xf numFmtId="0" fontId="2" fillId="3" borderId="0" xfId="3" applyFont="1" applyFill="1" applyBorder="1" applyAlignment="1" applyProtection="1">
      <alignment wrapText="1"/>
      <protection hidden="1"/>
    </xf>
    <xf numFmtId="3" fontId="2" fillId="5" borderId="0" xfId="3" applyNumberFormat="1" applyFont="1" applyFill="1" applyBorder="1" applyProtection="1">
      <protection locked="0" hidden="1"/>
    </xf>
    <xf numFmtId="0" fontId="0" fillId="10" borderId="0" xfId="0" applyFill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" fillId="10" borderId="0" xfId="0" applyFont="1" applyFill="1" applyAlignment="1" applyProtection="1">
      <alignment horizontal="center"/>
      <protection hidden="1"/>
    </xf>
    <xf numFmtId="0" fontId="0" fillId="4" borderId="0" xfId="0" applyFill="1" applyProtection="1">
      <protection hidden="1"/>
    </xf>
    <xf numFmtId="166" fontId="0" fillId="4" borderId="0" xfId="2" applyNumberFormat="1" applyFont="1" applyFill="1" applyProtection="1">
      <protection hidden="1"/>
    </xf>
    <xf numFmtId="166" fontId="0" fillId="10" borderId="0" xfId="2" applyNumberFormat="1" applyFont="1" applyFill="1" applyProtection="1">
      <protection hidden="1"/>
    </xf>
    <xf numFmtId="166" fontId="0" fillId="4" borderId="0" xfId="0" applyNumberFormat="1" applyFill="1" applyProtection="1">
      <protection hidden="1"/>
    </xf>
    <xf numFmtId="9" fontId="0" fillId="10" borderId="0" xfId="0" applyNumberFormat="1" applyFill="1" applyProtection="1">
      <protection hidden="1"/>
    </xf>
    <xf numFmtId="166" fontId="0" fillId="10" borderId="0" xfId="0" applyNumberFormat="1" applyFill="1" applyProtection="1">
      <protection hidden="1"/>
    </xf>
    <xf numFmtId="166" fontId="3" fillId="4" borderId="0" xfId="0" applyNumberFormat="1" applyFont="1" applyFill="1" applyProtection="1">
      <protection hidden="1"/>
    </xf>
    <xf numFmtId="164" fontId="0" fillId="0" borderId="0" xfId="0" applyNumberFormat="1" applyProtection="1">
      <protection hidden="1"/>
    </xf>
    <xf numFmtId="166" fontId="3" fillId="10" borderId="0" xfId="0" applyNumberFormat="1" applyFont="1" applyFill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3" fontId="12" fillId="4" borderId="0" xfId="0" applyNumberFormat="1" applyFont="1" applyFill="1" applyProtection="1">
      <protection hidden="1"/>
    </xf>
    <xf numFmtId="164" fontId="0" fillId="10" borderId="0" xfId="0" applyNumberFormat="1" applyFill="1" applyProtection="1">
      <protection hidden="1"/>
    </xf>
    <xf numFmtId="9" fontId="5" fillId="0" borderId="0" xfId="1" applyFont="1" applyProtection="1">
      <protection hidden="1"/>
    </xf>
    <xf numFmtId="0" fontId="0" fillId="5" borderId="0" xfId="0" applyFill="1" applyProtection="1">
      <protection locked="0" hidden="1"/>
    </xf>
    <xf numFmtId="166" fontId="0" fillId="5" borderId="0" xfId="2" applyNumberFormat="1" applyFont="1" applyFill="1" applyProtection="1">
      <protection locked="0" hidden="1"/>
    </xf>
    <xf numFmtId="9" fontId="0" fillId="5" borderId="0" xfId="0" applyNumberFormat="1" applyFill="1" applyProtection="1">
      <protection locked="0" hidden="1"/>
    </xf>
    <xf numFmtId="9" fontId="0" fillId="5" borderId="0" xfId="0" applyNumberFormat="1" applyFill="1" applyAlignment="1" applyProtection="1">
      <alignment horizontal="right"/>
      <protection locked="0" hidden="1"/>
    </xf>
    <xf numFmtId="0" fontId="0" fillId="12" borderId="0" xfId="0" applyFill="1" applyProtection="1">
      <protection hidden="1"/>
    </xf>
    <xf numFmtId="0" fontId="13" fillId="0" borderId="0" xfId="5" applyProtection="1">
      <protection hidden="1"/>
    </xf>
    <xf numFmtId="166" fontId="0" fillId="0" borderId="0" xfId="2" applyNumberFormat="1" applyFont="1" applyProtection="1">
      <protection hidden="1"/>
    </xf>
    <xf numFmtId="166" fontId="0" fillId="0" borderId="0" xfId="0" applyNumberFormat="1" applyProtection="1">
      <protection hidden="1"/>
    </xf>
    <xf numFmtId="0" fontId="0" fillId="5" borderId="0" xfId="0" applyFill="1" applyProtection="1">
      <protection locked="0"/>
    </xf>
    <xf numFmtId="166" fontId="0" fillId="5" borderId="0" xfId="2" applyNumberFormat="1" applyFont="1" applyFill="1" applyProtection="1">
      <protection locked="0"/>
    </xf>
    <xf numFmtId="10" fontId="0" fillId="5" borderId="0" xfId="1" applyNumberFormat="1" applyFont="1" applyFill="1" applyProtection="1">
      <protection locked="0"/>
    </xf>
    <xf numFmtId="9" fontId="0" fillId="5" borderId="0" xfId="1" applyFont="1" applyFill="1" applyProtection="1">
      <protection locked="0"/>
    </xf>
    <xf numFmtId="0" fontId="0" fillId="0" borderId="0" xfId="0" applyFill="1" applyProtection="1">
      <protection hidden="1"/>
    </xf>
    <xf numFmtId="166" fontId="0" fillId="0" borderId="0" xfId="2" applyNumberFormat="1" applyFont="1" applyFill="1" applyProtection="1">
      <protection hidden="1"/>
    </xf>
    <xf numFmtId="10" fontId="0" fillId="0" borderId="0" xfId="1" applyNumberFormat="1" applyFont="1" applyFill="1" applyProtection="1">
      <protection hidden="1"/>
    </xf>
    <xf numFmtId="9" fontId="0" fillId="0" borderId="0" xfId="1" applyFont="1" applyFill="1" applyProtection="1">
      <protection hidden="1"/>
    </xf>
    <xf numFmtId="10" fontId="0" fillId="10" borderId="0" xfId="1" applyNumberFormat="1" applyFont="1" applyFill="1" applyProtection="1">
      <protection hidden="1"/>
    </xf>
    <xf numFmtId="9" fontId="0" fillId="10" borderId="0" xfId="1" applyFont="1" applyFill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3" fillId="10" borderId="0" xfId="0" applyFont="1" applyFill="1" applyAlignment="1" applyProtection="1">
      <protection hidden="1"/>
    </xf>
    <xf numFmtId="0" fontId="3" fillId="10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horizontal="center"/>
      <protection hidden="1"/>
    </xf>
    <xf numFmtId="0" fontId="3" fillId="10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0" fillId="3" borderId="0" xfId="0" applyFont="1" applyFill="1" applyBorder="1" applyAlignment="1" applyProtection="1">
      <protection hidden="1"/>
    </xf>
    <xf numFmtId="9" fontId="0" fillId="4" borderId="0" xfId="1" applyFont="1" applyFill="1" applyProtection="1">
      <protection hidden="1"/>
    </xf>
    <xf numFmtId="0" fontId="0" fillId="3" borderId="0" xfId="0" applyFont="1" applyFill="1" applyBorder="1" applyAlignment="1" applyProtection="1">
      <alignment horizontal="left"/>
      <protection hidden="1"/>
    </xf>
    <xf numFmtId="0" fontId="0" fillId="3" borderId="0" xfId="0" applyFont="1" applyFill="1" applyAlignment="1" applyProtection="1">
      <alignment horizontal="center"/>
      <protection hidden="1"/>
    </xf>
    <xf numFmtId="9" fontId="0" fillId="3" borderId="0" xfId="1" applyFont="1" applyFill="1" applyAlignment="1" applyProtection="1">
      <alignment horizontal="center"/>
      <protection hidden="1"/>
    </xf>
    <xf numFmtId="0" fontId="0" fillId="3" borderId="0" xfId="0" applyFont="1" applyFill="1" applyAlignment="1" applyProtection="1">
      <protection hidden="1"/>
    </xf>
    <xf numFmtId="0" fontId="0" fillId="3" borderId="0" xfId="0" applyFont="1" applyFill="1" applyAlignment="1" applyProtection="1">
      <alignment horizontal="left"/>
      <protection hidden="1"/>
    </xf>
    <xf numFmtId="0" fontId="3" fillId="3" borderId="0" xfId="0" applyFont="1" applyFill="1" applyAlignment="1" applyProtection="1">
      <protection hidden="1"/>
    </xf>
    <xf numFmtId="166" fontId="3" fillId="4" borderId="0" xfId="2" applyNumberFormat="1" applyFont="1" applyFill="1" applyProtection="1">
      <protection hidden="1"/>
    </xf>
    <xf numFmtId="9" fontId="3" fillId="4" borderId="0" xfId="1" applyFont="1" applyFill="1" applyProtection="1">
      <protection hidden="1"/>
    </xf>
    <xf numFmtId="0" fontId="3" fillId="3" borderId="0" xfId="0" applyFont="1" applyFill="1" applyAlignment="1" applyProtection="1">
      <alignment horizontal="left"/>
      <protection hidden="1"/>
    </xf>
    <xf numFmtId="0" fontId="3" fillId="3" borderId="0" xfId="0" applyFont="1" applyFill="1" applyProtection="1">
      <protection hidden="1"/>
    </xf>
    <xf numFmtId="9" fontId="3" fillId="4" borderId="0" xfId="1" applyFont="1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Protection="1">
      <protection hidden="1"/>
    </xf>
    <xf numFmtId="166" fontId="12" fillId="0" borderId="0" xfId="2" applyNumberFormat="1" applyFont="1"/>
    <xf numFmtId="0" fontId="16" fillId="0" borderId="0" xfId="3" applyFont="1" applyAlignment="1" applyProtection="1">
      <alignment horizontal="left" vertical="top" wrapText="1"/>
      <protection hidden="1"/>
    </xf>
    <xf numFmtId="0" fontId="10" fillId="0" borderId="1" xfId="3" applyFont="1" applyBorder="1" applyAlignment="1" applyProtection="1">
      <alignment horizontal="center" wrapText="1"/>
      <protection hidden="1"/>
    </xf>
    <xf numFmtId="0" fontId="8" fillId="0" borderId="0" xfId="3" applyFont="1" applyFill="1" applyBorder="1" applyAlignment="1" applyProtection="1">
      <alignment horizontal="center"/>
      <protection hidden="1"/>
    </xf>
    <xf numFmtId="0" fontId="9" fillId="0" borderId="0" xfId="3" applyFont="1" applyFill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8" fillId="0" borderId="0" xfId="3" applyFont="1" applyAlignment="1" applyProtection="1">
      <alignment horizontal="left" vertical="top" wrapText="1"/>
      <protection hidden="1"/>
    </xf>
    <xf numFmtId="0" fontId="0" fillId="0" borderId="0" xfId="0" applyAlignment="1">
      <alignment horizontal="center"/>
    </xf>
    <xf numFmtId="0" fontId="11" fillId="0" borderId="0" xfId="0" applyFont="1" applyAlignment="1" applyProtection="1">
      <alignment horizontal="left" vertical="center" wrapText="1"/>
      <protection hidden="1"/>
    </xf>
    <xf numFmtId="0" fontId="0" fillId="3" borderId="0" xfId="0" applyFont="1" applyFill="1" applyAlignment="1" applyProtection="1">
      <alignment horizontal="left"/>
      <protection hidden="1"/>
    </xf>
    <xf numFmtId="0" fontId="3" fillId="3" borderId="0" xfId="0" applyFont="1" applyFill="1" applyAlignment="1" applyProtection="1">
      <alignment horizontal="left"/>
      <protection hidden="1"/>
    </xf>
    <xf numFmtId="0" fontId="0" fillId="3" borderId="0" xfId="0" applyFont="1" applyFill="1" applyBorder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5" borderId="0" xfId="0" applyFont="1" applyFill="1" applyProtection="1">
      <protection locked="0"/>
    </xf>
  </cellXfs>
  <cellStyles count="6">
    <cellStyle name="Comma" xfId="2" builtinId="3"/>
    <cellStyle name="Hyperlink" xfId="5" builtinId="8"/>
    <cellStyle name="Normal" xfId="0" builtinId="0"/>
    <cellStyle name="Normal 2" xfId="3" xr:uid="{BD2143CB-A99E-4B45-9184-CA39037A3885}"/>
    <cellStyle name="Normal 2 2" xfId="4" xr:uid="{500D2B5C-7E7D-8447-A1C4-9A115805A58D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19FDC"/>
      <color rgb="FF376AC6"/>
      <color rgb="FFF38137"/>
      <color rgb="FFA7A7A7"/>
      <color rgb="FFA5A5A5"/>
      <color rgb="FF71B346"/>
      <color rgb="FFFFC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Current Asset</a:t>
            </a:r>
            <a:r>
              <a:rPr lang="en-GB" baseline="0"/>
              <a:t> Allocation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1B34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3E-2643-8ACD-EFE70F8034E5}"/>
              </c:ext>
            </c:extLst>
          </c:dPt>
          <c:dPt>
            <c:idx val="1"/>
            <c:bubble3D val="0"/>
            <c:spPr>
              <a:solidFill>
                <a:srgbClr val="376AC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3E-2643-8ACD-EFE70F8034E5}"/>
              </c:ext>
            </c:extLst>
          </c:dPt>
          <c:dPt>
            <c:idx val="2"/>
            <c:bubble3D val="0"/>
            <c:spPr>
              <a:solidFill>
                <a:srgbClr val="F3813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3E-2643-8ACD-EFE70F8034E5}"/>
              </c:ext>
            </c:extLst>
          </c:dPt>
          <c:dPt>
            <c:idx val="3"/>
            <c:bubble3D val="0"/>
            <c:spPr>
              <a:solidFill>
                <a:srgbClr val="A5A5A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3E-2643-8ACD-EFE70F8034E5}"/>
              </c:ext>
            </c:extLst>
          </c:dPt>
          <c:dPt>
            <c:idx val="4"/>
            <c:bubble3D val="0"/>
            <c:spPr>
              <a:solidFill>
                <a:srgbClr val="FFC60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3E-2643-8ACD-EFE70F8034E5}"/>
              </c:ext>
            </c:extLst>
          </c:dPt>
          <c:dPt>
            <c:idx val="5"/>
            <c:bubble3D val="0"/>
            <c:spPr>
              <a:solidFill>
                <a:srgbClr val="619FD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3E-2643-8ACD-EFE70F8034E5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 worth'!$E$10:$E$15</c:f>
              <c:strCache>
                <c:ptCount val="6"/>
                <c:pt idx="0">
                  <c:v>Real Estate / Reits</c:v>
                </c:pt>
                <c:pt idx="1">
                  <c:v>Domestic Equity</c:v>
                </c:pt>
                <c:pt idx="2">
                  <c:v>US Equity</c:v>
                </c:pt>
                <c:pt idx="3">
                  <c:v>Debt</c:v>
                </c:pt>
                <c:pt idx="4">
                  <c:v>Gold</c:v>
                </c:pt>
                <c:pt idx="5">
                  <c:v>Crypto</c:v>
                </c:pt>
              </c:strCache>
            </c:strRef>
          </c:cat>
          <c:val>
            <c:numRef>
              <c:f>'Net worth'!$K$10:$K$15</c:f>
              <c:numCache>
                <c:formatCode>0%</c:formatCode>
                <c:ptCount val="6"/>
                <c:pt idx="0">
                  <c:v>0</c:v>
                </c:pt>
                <c:pt idx="1">
                  <c:v>0.20585399244070118</c:v>
                </c:pt>
                <c:pt idx="2">
                  <c:v>8.9283057051873463E-2</c:v>
                </c:pt>
                <c:pt idx="3">
                  <c:v>0.69891074670396713</c:v>
                </c:pt>
                <c:pt idx="4">
                  <c:v>0</c:v>
                </c:pt>
                <c:pt idx="5">
                  <c:v>5.9522038034582302E-3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B-4843-8657-0EFA11D991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Required Asset Allocation</a:t>
            </a:r>
          </a:p>
        </c:rich>
      </c:tx>
      <c:layout>
        <c:manualLayout>
          <c:xMode val="edge"/>
          <c:yMode val="edge"/>
          <c:x val="0.16957657376599511"/>
          <c:y val="2.411371773417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1A-CC40-96D9-D41CD16D6AD1}"/>
              </c:ext>
            </c:extLst>
          </c:dPt>
          <c:dPt>
            <c:idx val="1"/>
            <c:bubble3D val="0"/>
            <c:spPr>
              <a:solidFill>
                <a:srgbClr val="376AC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1A-CC40-96D9-D41CD16D6AD1}"/>
              </c:ext>
            </c:extLst>
          </c:dPt>
          <c:dPt>
            <c:idx val="2"/>
            <c:bubble3D val="0"/>
            <c:spPr>
              <a:solidFill>
                <a:srgbClr val="F3813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1A-CC40-96D9-D41CD16D6AD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1A-CC40-96D9-D41CD16D6AD1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1A-CC40-96D9-D41CD16D6AD1}"/>
              </c:ext>
            </c:extLst>
          </c:dPt>
          <c:dPt>
            <c:idx val="5"/>
            <c:bubble3D val="0"/>
            <c:spPr>
              <a:solidFill>
                <a:srgbClr val="619FD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1A-CC40-96D9-D41CD16D6AD1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 worth'!$M$10:$M$15</c:f>
              <c:strCache>
                <c:ptCount val="6"/>
                <c:pt idx="0">
                  <c:v>Real Estate / REITs</c:v>
                </c:pt>
                <c:pt idx="1">
                  <c:v>Domestic Equity</c:v>
                </c:pt>
                <c:pt idx="2">
                  <c:v>US equity</c:v>
                </c:pt>
                <c:pt idx="3">
                  <c:v>Debt</c:v>
                </c:pt>
                <c:pt idx="4">
                  <c:v>Gold (SGB / ETF)</c:v>
                </c:pt>
                <c:pt idx="5">
                  <c:v>Crypto</c:v>
                </c:pt>
              </c:strCache>
            </c:strRef>
          </c:cat>
          <c:val>
            <c:numRef>
              <c:f>'Net worth'!$O$10:$O$15</c:f>
              <c:numCache>
                <c:formatCode>0%</c:formatCode>
                <c:ptCount val="6"/>
                <c:pt idx="0">
                  <c:v>2.777850397045848E-2</c:v>
                </c:pt>
                <c:pt idx="1">
                  <c:v>0.33334204764550179</c:v>
                </c:pt>
                <c:pt idx="2">
                  <c:v>5.5557007940916961E-2</c:v>
                </c:pt>
                <c:pt idx="3">
                  <c:v>0.52776543250220576</c:v>
                </c:pt>
                <c:pt idx="4">
                  <c:v>2.777850397045848E-2</c:v>
                </c:pt>
                <c:pt idx="5">
                  <c:v>2.777850397045848E-2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1A-CC40-96D9-D41CD16D6A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/>
              <a:t>Direct stock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49-E641-AD29-1914A89A3D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49-E641-AD29-1914A89A3D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49-E641-AD29-1914A89A3DB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Equity'!$B$21:$B$23</c:f>
              <c:strCache>
                <c:ptCount val="3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C9-AD4B-B56D-AE2104FD8379}"/>
            </c:ext>
          </c:extLst>
        </c:ser>
        <c:ser>
          <c:idx val="3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2C9-AD4B-B56D-AE2104FD83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C9-AD4B-B56D-AE2104FD83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42C9-AD4B-B56D-AE2104FD8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Equity'!$B$21:$B$23</c:f>
              <c:strCache>
                <c:ptCount val="3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C9-AD4B-B56D-AE2104FD8379}"/>
            </c:ext>
          </c:extLst>
        </c:ser>
        <c:ser>
          <c:idx val="1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2C9-AD4B-B56D-AE2104FD83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2C9-AD4B-B56D-AE2104FD83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2C9-AD4B-B56D-AE2104FD8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Equity'!$B$21:$B$23</c:f>
              <c:strCache>
                <c:ptCount val="3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C9-AD4B-B56D-AE2104FD8379}"/>
            </c:ext>
          </c:extLst>
        </c:ser>
        <c:ser>
          <c:idx val="0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2C9-AD4B-B56D-AE2104FD83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2C9-AD4B-B56D-AE2104FD83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2C9-AD4B-B56D-AE2104FD8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Equity'!$B$21:$B$23</c:f>
              <c:strCache>
                <c:ptCount val="3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C9-AD4B-B56D-AE2104FD83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/>
              <a:t>Mutual funds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90-5040-B10A-30E177BB47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90-5040-B10A-30E177BB47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90-5040-B10A-30E177BB47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C6-CC41-ADFC-268E94EF847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Equity'!$F$21:$I$24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Cash</c:v>
                </c:pt>
              </c:strCache>
            </c:strRef>
          </c:cat>
          <c:val>
            <c:numRef>
              <c:f>'Domestic Equity'!$K$21:$K$24</c:f>
              <c:numCache>
                <c:formatCode>0%</c:formatCode>
                <c:ptCount val="4"/>
                <c:pt idx="0">
                  <c:v>0.48857618959451954</c:v>
                </c:pt>
                <c:pt idx="1">
                  <c:v>0.15698944639881504</c:v>
                </c:pt>
                <c:pt idx="2">
                  <c:v>0.26480281429364932</c:v>
                </c:pt>
                <c:pt idx="3">
                  <c:v>8.9631549713016109E-2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90-5040-B10A-30E177BB47EF}"/>
            </c:ext>
          </c:extLst>
        </c:ser>
        <c:ser>
          <c:idx val="3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990-5040-B10A-30E177BB47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990-5040-B10A-30E177BB47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990-5040-B10A-30E177BB47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Equity'!$F$21:$I$24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Cash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90-5040-B10A-30E177BB47EF}"/>
            </c:ext>
          </c:extLst>
        </c:ser>
        <c:ser>
          <c:idx val="1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90-5040-B10A-30E177BB47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990-5040-B10A-30E177BB47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990-5040-B10A-30E177BB47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Equity'!$F$21:$I$24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Cash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90-5040-B10A-30E177BB47EF}"/>
            </c:ext>
          </c:extLst>
        </c:ser>
        <c:ser>
          <c:idx val="0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990-5040-B10A-30E177BB47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990-5040-B10A-30E177BB47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7990-5040-B10A-30E177BB47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Equity'!$F$21:$I$24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Cash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90-5040-B10A-30E177BB4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/>
              <a:t>Total</a:t>
            </a:r>
            <a:r>
              <a:rPr lang="en-GB" sz="1400" baseline="0"/>
              <a:t> equity portfolio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85-B447-8CBA-353B7DD970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85-B447-8CBA-353B7DD970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85-B447-8CBA-353B7DD970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48-3D45-BD3B-81687B5B1624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Equity'!$M$21:$M$24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Cash</c:v>
                </c:pt>
              </c:strCache>
            </c:strRef>
          </c:cat>
          <c:val>
            <c:numRef>
              <c:f>'Domestic Equity'!$O$21:$O$24</c:f>
              <c:numCache>
                <c:formatCode>0%</c:formatCode>
                <c:ptCount val="4"/>
                <c:pt idx="0">
                  <c:v>0.39708147547628697</c:v>
                </c:pt>
                <c:pt idx="1">
                  <c:v>0.19563572490204026</c:v>
                </c:pt>
                <c:pt idx="2">
                  <c:v>0.34187271990271584</c:v>
                </c:pt>
                <c:pt idx="3">
                  <c:v>6.5410079718956904E-2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85-B447-8CBA-353B7DD970A2}"/>
            </c:ext>
          </c:extLst>
        </c:ser>
        <c:ser>
          <c:idx val="3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885-B447-8CBA-353B7DD970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885-B447-8CBA-353B7DD970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885-B447-8CBA-353B7DD970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Equity'!$M$21:$M$24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Cash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85-B447-8CBA-353B7DD970A2}"/>
            </c:ext>
          </c:extLst>
        </c:ser>
        <c:ser>
          <c:idx val="1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85-B447-8CBA-353B7DD970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85-B447-8CBA-353B7DD970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885-B447-8CBA-353B7DD970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Equity'!$M$21:$M$24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Cash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85-B447-8CBA-353B7DD970A2}"/>
            </c:ext>
          </c:extLst>
        </c:ser>
        <c:ser>
          <c:idx val="0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885-B447-8CBA-353B7DD970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885-B447-8CBA-353B7DD970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4885-B447-8CBA-353B7DD970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'Domestic Equity'!$M$21:$M$24</c:f>
              <c:strCache>
                <c:ptCount val="4"/>
                <c:pt idx="0">
                  <c:v>Largecap</c:v>
                </c:pt>
                <c:pt idx="1">
                  <c:v>Midcap</c:v>
                </c:pt>
                <c:pt idx="2">
                  <c:v>Smallcap</c:v>
                </c:pt>
                <c:pt idx="3">
                  <c:v>Cash</c:v>
                </c:pt>
              </c:strCache>
            </c:strRef>
          </c:cat>
          <c:val>
            <c:numRef>
              <c:f>'Domestic Equity'!$D$21:$D$23</c:f>
              <c:numCache>
                <c:formatCode>0%</c:formatCode>
                <c:ptCount val="3"/>
                <c:pt idx="0">
                  <c:v>0.15</c:v>
                </c:pt>
                <c:pt idx="1">
                  <c:v>0.3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885-B447-8CBA-353B7DD97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731518</xdr:colOff>
      <xdr:row>0</xdr:row>
      <xdr:rowOff>0</xdr:rowOff>
    </xdr:from>
    <xdr:to>
      <xdr:col>3</xdr:col>
      <xdr:colOff>542925</xdr:colOff>
      <xdr:row>3</xdr:row>
      <xdr:rowOff>136811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3B4C3-5CE6-4613-BE33-3B6A64ECF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731" y="0"/>
          <a:ext cx="1321119" cy="7368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683333</xdr:colOff>
      <xdr:row>0</xdr:row>
      <xdr:rowOff>0</xdr:rowOff>
    </xdr:from>
    <xdr:to>
      <xdr:col>2</xdr:col>
      <xdr:colOff>152401</xdr:colOff>
      <xdr:row>4</xdr:row>
      <xdr:rowOff>9235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70D5F-5916-4D9D-8326-929E7A2F0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73" y="0"/>
          <a:ext cx="1313108" cy="7255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444254</xdr:colOff>
      <xdr:row>0</xdr:row>
      <xdr:rowOff>0</xdr:rowOff>
    </xdr:from>
    <xdr:to>
      <xdr:col>2</xdr:col>
      <xdr:colOff>172403</xdr:colOff>
      <xdr:row>4</xdr:row>
      <xdr:rowOff>7330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B71ECC-4F3B-456E-826E-70F307F3D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267" y="0"/>
          <a:ext cx="1314061" cy="7312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444254</xdr:colOff>
      <xdr:row>0</xdr:row>
      <xdr:rowOff>0</xdr:rowOff>
    </xdr:from>
    <xdr:to>
      <xdr:col>2</xdr:col>
      <xdr:colOff>172403</xdr:colOff>
      <xdr:row>3</xdr:row>
      <xdr:rowOff>129250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DB464-00C3-4B5B-A072-DB2D31E19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314" y="0"/>
          <a:ext cx="1313109" cy="7236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842962</xdr:colOff>
      <xdr:row>0</xdr:row>
      <xdr:rowOff>0</xdr:rowOff>
    </xdr:from>
    <xdr:to>
      <xdr:col>1</xdr:col>
      <xdr:colOff>2164081</xdr:colOff>
      <xdr:row>4</xdr:row>
      <xdr:rowOff>12986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87526-BBCC-425A-9D67-2AC05F8D3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0"/>
          <a:ext cx="1321119" cy="736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842962</xdr:colOff>
      <xdr:row>0</xdr:row>
      <xdr:rowOff>0</xdr:rowOff>
    </xdr:from>
    <xdr:to>
      <xdr:col>2</xdr:col>
      <xdr:colOff>31433</xdr:colOff>
      <xdr:row>3</xdr:row>
      <xdr:rowOff>134906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47BB6-EBEC-471F-BCDF-00D356A96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" y="0"/>
          <a:ext cx="1321119" cy="7292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797292</xdr:colOff>
      <xdr:row>16</xdr:row>
      <xdr:rowOff>134938</xdr:rowOff>
    </xdr:from>
    <xdr:to>
      <xdr:col>11</xdr:col>
      <xdr:colOff>29308</xdr:colOff>
      <xdr:row>31</xdr:row>
      <xdr:rowOff>82754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11050-176B-1190-03E5-91D7B0E2A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12</xdr:col>
      <xdr:colOff>60976</xdr:colOff>
      <xdr:row>16</xdr:row>
      <xdr:rowOff>126999</xdr:rowOff>
    </xdr:from>
    <xdr:to>
      <xdr:col>15</xdr:col>
      <xdr:colOff>8467</xdr:colOff>
      <xdr:row>31</xdr:row>
      <xdr:rowOff>55562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C3051-0C1F-D74C-BEF5-1D83379C4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oneCell">
    <xdr:from>
      <xdr:col>4</xdr:col>
      <xdr:colOff>857249</xdr:colOff>
      <xdr:row>0</xdr:row>
      <xdr:rowOff>1</xdr:rowOff>
    </xdr:from>
    <xdr:to>
      <xdr:col>5</xdr:col>
      <xdr:colOff>986876</xdr:colOff>
      <xdr:row>3</xdr:row>
      <xdr:rowOff>131379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D1E9DE-3680-4A1E-B1C1-052AA0434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0794" y="1"/>
          <a:ext cx="1427654" cy="7935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791209</xdr:colOff>
      <xdr:row>0</xdr:row>
      <xdr:rowOff>0</xdr:rowOff>
    </xdr:from>
    <xdr:to>
      <xdr:col>4</xdr:col>
      <xdr:colOff>272506</xdr:colOff>
      <xdr:row>3</xdr:row>
      <xdr:rowOff>115869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F59117-3983-42EB-8EAD-43CBEC31E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9849" y="0"/>
          <a:ext cx="1286511" cy="7102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791209</xdr:colOff>
      <xdr:row>0</xdr:row>
      <xdr:rowOff>0</xdr:rowOff>
    </xdr:from>
    <xdr:to>
      <xdr:col>2</xdr:col>
      <xdr:colOff>490220</xdr:colOff>
      <xdr:row>3</xdr:row>
      <xdr:rowOff>115869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1E8E70-6778-4B7D-BF01-101A32143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7309" y="0"/>
          <a:ext cx="1283971" cy="7102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1033404</xdr:colOff>
      <xdr:row>7</xdr:row>
      <xdr:rowOff>17585</xdr:rowOff>
    </xdr:from>
    <xdr:to>
      <xdr:col>3</xdr:col>
      <xdr:colOff>653724</xdr:colOff>
      <xdr:row>18</xdr:row>
      <xdr:rowOff>2768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CE3AA-BCC1-E0CD-6F41-0C2181066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5</xdr:col>
      <xdr:colOff>1577486</xdr:colOff>
      <xdr:row>6</xdr:row>
      <xdr:rowOff>193777</xdr:rowOff>
    </xdr:from>
    <xdr:to>
      <xdr:col>8</xdr:col>
      <xdr:colOff>937846</xdr:colOff>
      <xdr:row>18</xdr:row>
      <xdr:rowOff>18297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97414C-26B1-9245-AB61-AD54DC1E5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12</xdr:col>
      <xdr:colOff>479304</xdr:colOff>
      <xdr:row>7</xdr:row>
      <xdr:rowOff>19416</xdr:rowOff>
    </xdr:from>
    <xdr:to>
      <xdr:col>14</xdr:col>
      <xdr:colOff>732693</xdr:colOff>
      <xdr:row>18</xdr:row>
      <xdr:rowOff>37937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3B8766-0C92-7F4E-AD20-AF745345A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 editAs="oneCell">
    <xdr:from>
      <xdr:col>6</xdr:col>
      <xdr:colOff>375039</xdr:colOff>
      <xdr:row>0</xdr:row>
      <xdr:rowOff>0</xdr:rowOff>
    </xdr:from>
    <xdr:to>
      <xdr:col>8</xdr:col>
      <xdr:colOff>276514</xdr:colOff>
      <xdr:row>5</xdr:row>
      <xdr:rowOff>105507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1CB0C8-80E3-4500-9A01-1705E51B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7424" y="0"/>
          <a:ext cx="2035075" cy="11312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322652</xdr:colOff>
      <xdr:row>0</xdr:row>
      <xdr:rowOff>0</xdr:rowOff>
    </xdr:from>
    <xdr:to>
      <xdr:col>2</xdr:col>
      <xdr:colOff>426647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D47605-CF08-4468-A82E-0ADA621D9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65" y="0"/>
          <a:ext cx="1689907" cy="942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322652</xdr:colOff>
      <xdr:row>0</xdr:row>
      <xdr:rowOff>0</xdr:rowOff>
    </xdr:from>
    <xdr:to>
      <xdr:col>8</xdr:col>
      <xdr:colOff>45647</xdr:colOff>
      <xdr:row>4</xdr:row>
      <xdr:rowOff>110217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2198F-1383-4C77-B178-A14F2A73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712" y="0"/>
          <a:ext cx="1688955" cy="935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capitalmind.in/2022/05/best-reit-india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B0CC-4A50-FB4E-A838-D592362B1E79}">
  <dimension ref="B4:H17"/>
  <sheetViews>
    <sheetView showGridLines="0" zoomScale="150" zoomScaleNormal="160" workbookViewId="0">
      <selection activeCell="E5" sqref="E5"/>
    </sheetView>
  </sheetViews>
  <sheetFormatPr defaultColWidth="11.19921875" defaultRowHeight="15.6" x14ac:dyDescent="0.3"/>
  <cols>
    <col min="1" max="1" width="4.296875" style="26" customWidth="1"/>
    <col min="2" max="2" width="28" style="26" bestFit="1" customWidth="1"/>
    <col min="3" max="3" width="19.796875" style="26" customWidth="1"/>
    <col min="4" max="4" width="18.19921875" style="26" customWidth="1"/>
    <col min="5" max="5" width="18" style="26" customWidth="1"/>
    <col min="6" max="6" width="16.19921875" style="26" customWidth="1"/>
    <col min="7" max="7" width="17.296875" style="26" bestFit="1" customWidth="1"/>
    <col min="8" max="8" width="14.796875" style="26" customWidth="1"/>
    <col min="9" max="9" width="17.19921875" style="26" customWidth="1"/>
    <col min="10" max="16384" width="11.19921875" style="26"/>
  </cols>
  <sheetData>
    <row r="4" spans="2:8" ht="15.45" customHeight="1" x14ac:dyDescent="0.3">
      <c r="C4" s="148" t="s">
        <v>151</v>
      </c>
      <c r="D4" s="148"/>
      <c r="F4" s="14"/>
    </row>
    <row r="5" spans="2:8" ht="16.95" customHeight="1" x14ac:dyDescent="0.3">
      <c r="C5" s="148"/>
      <c r="D5" s="148"/>
      <c r="F5" s="14"/>
    </row>
    <row r="6" spans="2:8" ht="18" x14ac:dyDescent="0.35">
      <c r="B6" s="8"/>
      <c r="C6" s="13" t="s">
        <v>137</v>
      </c>
    </row>
    <row r="7" spans="2:8" ht="18" customHeight="1" x14ac:dyDescent="0.35">
      <c r="B7" s="9"/>
      <c r="C7" s="19" t="s">
        <v>138</v>
      </c>
      <c r="E7" s="27"/>
      <c r="F7" s="27"/>
      <c r="G7" s="28"/>
      <c r="H7" s="28"/>
    </row>
    <row r="8" spans="2:8" x14ac:dyDescent="0.3">
      <c r="D8" s="29" t="s">
        <v>70</v>
      </c>
      <c r="E8" s="30" t="s">
        <v>78</v>
      </c>
      <c r="F8" s="29" t="s">
        <v>77</v>
      </c>
    </row>
    <row r="9" spans="2:8" x14ac:dyDescent="0.3">
      <c r="B9" s="31" t="s">
        <v>3</v>
      </c>
      <c r="C9" s="31" t="s">
        <v>4</v>
      </c>
      <c r="D9" s="32" t="s">
        <v>79</v>
      </c>
      <c r="E9" s="32" t="s">
        <v>80</v>
      </c>
      <c r="F9" s="32" t="s">
        <v>81</v>
      </c>
    </row>
    <row r="10" spans="2:8" x14ac:dyDescent="0.3">
      <c r="B10" s="33" t="s">
        <v>5</v>
      </c>
      <c r="C10" s="34">
        <v>0.12</v>
      </c>
      <c r="D10" s="39">
        <v>0</v>
      </c>
      <c r="E10" s="39">
        <v>0.4</v>
      </c>
      <c r="F10" s="39">
        <v>0.6</v>
      </c>
    </row>
    <row r="11" spans="2:8" x14ac:dyDescent="0.3">
      <c r="B11" s="33" t="s">
        <v>51</v>
      </c>
      <c r="C11" s="34">
        <v>0.12</v>
      </c>
      <c r="D11" s="39">
        <v>0</v>
      </c>
      <c r="E11" s="39">
        <v>0</v>
      </c>
      <c r="F11" s="39">
        <v>0.1</v>
      </c>
    </row>
    <row r="12" spans="2:8" x14ac:dyDescent="0.3">
      <c r="B12" s="33" t="s">
        <v>0</v>
      </c>
      <c r="C12" s="34">
        <v>0.06</v>
      </c>
      <c r="D12" s="39">
        <v>1</v>
      </c>
      <c r="E12" s="39">
        <v>0.5</v>
      </c>
      <c r="F12" s="39">
        <v>0.15</v>
      </c>
    </row>
    <row r="13" spans="2:8" x14ac:dyDescent="0.3">
      <c r="B13" s="33" t="s">
        <v>76</v>
      </c>
      <c r="C13" s="34">
        <v>0.06</v>
      </c>
      <c r="D13" s="39">
        <v>0</v>
      </c>
      <c r="E13" s="39">
        <v>0.1</v>
      </c>
      <c r="F13" s="39">
        <v>0.05</v>
      </c>
    </row>
    <row r="14" spans="2:8" x14ac:dyDescent="0.3">
      <c r="B14" s="33" t="s">
        <v>1</v>
      </c>
      <c r="C14" s="34">
        <v>0.2</v>
      </c>
      <c r="D14" s="39">
        <v>0</v>
      </c>
      <c r="E14" s="39">
        <v>0</v>
      </c>
      <c r="F14" s="39">
        <v>0.05</v>
      </c>
    </row>
    <row r="15" spans="2:8" x14ac:dyDescent="0.3">
      <c r="B15" s="33" t="s">
        <v>2</v>
      </c>
      <c r="C15" s="34">
        <v>0.1</v>
      </c>
      <c r="D15" s="39">
        <v>0</v>
      </c>
      <c r="E15" s="39">
        <v>0</v>
      </c>
      <c r="F15" s="39">
        <v>0.05</v>
      </c>
    </row>
    <row r="16" spans="2:8" x14ac:dyDescent="0.3">
      <c r="B16" s="35" t="s">
        <v>7</v>
      </c>
      <c r="C16" s="35" t="s">
        <v>6</v>
      </c>
      <c r="D16" s="36">
        <f>SUMPRODUCT($C$10:$C$15,D10:D15)</f>
        <v>0.06</v>
      </c>
      <c r="E16" s="37">
        <f>SUMPRODUCT(E10:E15,$C$10:$C$15)*0.4+D16*0.6</f>
        <v>6.9599999999999995E-2</v>
      </c>
      <c r="F16" s="36">
        <f>SUMPRODUCT(F10:F15,C10:C15)</f>
        <v>0.11099999999999999</v>
      </c>
    </row>
    <row r="17" spans="5:5" x14ac:dyDescent="0.3">
      <c r="E17" s="38"/>
    </row>
  </sheetData>
  <sheetProtection algorithmName="SHA-512" hashValue="irPqCgwb7SYDuSUh+rFGiUzmta8uPGH05rKUorntunnfkTeiOlxHN9c6vyItW507UWQlV5i0Wn/qDkiYcHq/bg==" saltValue="gxh5J6mMFLW89rptUhH0Mg==" spinCount="100000" sheet="1" objects="1" scenarios="1"/>
  <mergeCells count="1">
    <mergeCell ref="C4:D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F7D4-8968-DF42-A086-E9A78539070C}">
  <dimension ref="B2:E14"/>
  <sheetViews>
    <sheetView showGridLines="0" zoomScale="150" zoomScaleNormal="150" workbookViewId="0">
      <selection activeCell="C12" sqref="C12"/>
    </sheetView>
  </sheetViews>
  <sheetFormatPr defaultColWidth="11.19921875" defaultRowHeight="15.6" x14ac:dyDescent="0.3"/>
  <cols>
    <col min="1" max="1" width="4.5" style="26" customWidth="1"/>
    <col min="2" max="2" width="24.19921875" style="26" customWidth="1"/>
    <col min="3" max="3" width="16.296875" style="26" customWidth="1"/>
    <col min="4" max="16384" width="11.19921875" style="26"/>
  </cols>
  <sheetData>
    <row r="2" spans="2:5" x14ac:dyDescent="0.3">
      <c r="C2" s="117"/>
    </row>
    <row r="3" spans="2:5" x14ac:dyDescent="0.3">
      <c r="C3" s="117"/>
    </row>
    <row r="4" spans="2:5" ht="10.050000000000001" customHeight="1" x14ac:dyDescent="0.3">
      <c r="B4" s="154" t="s">
        <v>151</v>
      </c>
      <c r="C4" s="154"/>
    </row>
    <row r="5" spans="2:5" ht="10.050000000000001" customHeight="1" x14ac:dyDescent="0.3">
      <c r="B5" s="154"/>
      <c r="C5" s="154"/>
    </row>
    <row r="7" spans="2:5" ht="18" x14ac:dyDescent="0.35">
      <c r="B7" s="8"/>
      <c r="C7" s="13" t="s">
        <v>137</v>
      </c>
      <c r="D7" s="40"/>
      <c r="E7" s="40"/>
    </row>
    <row r="8" spans="2:5" ht="18" x14ac:dyDescent="0.35">
      <c r="B8" s="9"/>
      <c r="C8" s="153" t="s">
        <v>138</v>
      </c>
      <c r="D8" s="153"/>
      <c r="E8" s="153"/>
    </row>
    <row r="10" spans="2:5" x14ac:dyDescent="0.3">
      <c r="B10" s="41" t="s">
        <v>10</v>
      </c>
      <c r="C10" s="42" t="s">
        <v>11</v>
      </c>
    </row>
    <row r="11" spans="2:5" x14ac:dyDescent="0.3">
      <c r="B11" s="144" t="s">
        <v>20</v>
      </c>
      <c r="C11" s="104">
        <v>1000000</v>
      </c>
    </row>
    <row r="12" spans="2:5" x14ac:dyDescent="0.3">
      <c r="B12" s="144" t="s">
        <v>44</v>
      </c>
      <c r="C12" s="104">
        <v>0</v>
      </c>
    </row>
    <row r="13" spans="2:5" x14ac:dyDescent="0.3">
      <c r="B13" s="144" t="s">
        <v>124</v>
      </c>
      <c r="C13" s="104">
        <v>0</v>
      </c>
    </row>
    <row r="14" spans="2:5" x14ac:dyDescent="0.3">
      <c r="B14" s="144" t="s">
        <v>26</v>
      </c>
      <c r="C14" s="91">
        <f>SUM(C11:C13)</f>
        <v>1000000</v>
      </c>
    </row>
  </sheetData>
  <sheetProtection algorithmName="SHA-512" hashValue="vk0wAV92/2FT8MDmdQlV3znVbnCN0YiFDMaSRl1CVTr1GbmnmtpusbxQj9Qh1zwJfGQcf9VlrUhVqeALEEj3fg==" saltValue="E+l/tgSH7S2ylunD48wSiw==" spinCount="100000" sheet="1" objects="1" scenarios="1"/>
  <mergeCells count="2">
    <mergeCell ref="C8:E8"/>
    <mergeCell ref="B4:C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7533-8EE1-554D-8057-54471D197C8A}">
  <dimension ref="B4:E18"/>
  <sheetViews>
    <sheetView showGridLines="0" zoomScale="160" zoomScaleNormal="160" workbookViewId="0">
      <selection activeCell="C11" sqref="C11"/>
    </sheetView>
  </sheetViews>
  <sheetFormatPr defaultColWidth="11.19921875" defaultRowHeight="15.6" x14ac:dyDescent="0.3"/>
  <cols>
    <col min="1" max="1" width="6.296875" style="26" customWidth="1"/>
    <col min="2" max="2" width="20.796875" style="26" customWidth="1"/>
    <col min="3" max="3" width="13.296875" style="26" customWidth="1"/>
    <col min="4" max="16384" width="11.19921875" style="26"/>
  </cols>
  <sheetData>
    <row r="4" spans="2:5" ht="10.050000000000001" customHeight="1" x14ac:dyDescent="0.3">
      <c r="B4" s="154" t="s">
        <v>151</v>
      </c>
      <c r="C4" s="154"/>
    </row>
    <row r="5" spans="2:5" ht="10.050000000000001" customHeight="1" x14ac:dyDescent="0.3">
      <c r="B5" s="154"/>
      <c r="C5" s="154"/>
    </row>
    <row r="7" spans="2:5" ht="18" x14ac:dyDescent="0.35">
      <c r="B7" s="8"/>
      <c r="C7" s="13" t="s">
        <v>137</v>
      </c>
      <c r="D7" s="40"/>
      <c r="E7" s="40"/>
    </row>
    <row r="8" spans="2:5" ht="18" x14ac:dyDescent="0.35">
      <c r="B8" s="9"/>
      <c r="C8" s="153" t="s">
        <v>138</v>
      </c>
      <c r="D8" s="153"/>
      <c r="E8" s="153"/>
    </row>
    <row r="10" spans="2:5" x14ac:dyDescent="0.3">
      <c r="B10" s="41" t="s">
        <v>10</v>
      </c>
      <c r="C10" s="42" t="s">
        <v>11</v>
      </c>
    </row>
    <row r="11" spans="2:5" x14ac:dyDescent="0.3">
      <c r="B11" s="107" t="s">
        <v>1</v>
      </c>
      <c r="C11" s="104">
        <v>10000</v>
      </c>
    </row>
    <row r="12" spans="2:5" x14ac:dyDescent="0.3">
      <c r="B12" s="107" t="s">
        <v>26</v>
      </c>
      <c r="C12" s="91">
        <f>SUM(C11)</f>
        <v>10000</v>
      </c>
    </row>
    <row r="13" spans="2:5" x14ac:dyDescent="0.3">
      <c r="C13" s="109"/>
      <c r="D13" s="108"/>
    </row>
    <row r="14" spans="2:5" x14ac:dyDescent="0.3">
      <c r="C14" s="109"/>
    </row>
    <row r="15" spans="2:5" x14ac:dyDescent="0.3">
      <c r="C15" s="109"/>
    </row>
    <row r="16" spans="2:5" x14ac:dyDescent="0.3">
      <c r="C16" s="109"/>
    </row>
    <row r="17" spans="3:3" x14ac:dyDescent="0.3">
      <c r="C17" s="109"/>
    </row>
    <row r="18" spans="3:3" x14ac:dyDescent="0.3">
      <c r="C18" s="110"/>
    </row>
  </sheetData>
  <sheetProtection algorithmName="SHA-512" hashValue="NTFQ3GX0fKWBGPehrl283CjkCvwDWjtpWPakfLiI07YImxziwg9gaGkvmrgTC23YoNUFu4obJsuK9J36Gd+SXw==" saltValue="onkaMGgdrSiJCDnLtjLpTw==" spinCount="100000" sheet="1" objects="1" scenarios="1"/>
  <mergeCells count="2">
    <mergeCell ref="B4:C5"/>
    <mergeCell ref="C8:E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BB54-9F52-C04C-A76B-1E08E927724B}">
  <dimension ref="B3:E17"/>
  <sheetViews>
    <sheetView showGridLines="0" zoomScale="160" zoomScaleNormal="160" workbookViewId="0">
      <selection activeCell="C10" sqref="C10"/>
    </sheetView>
  </sheetViews>
  <sheetFormatPr defaultColWidth="11.19921875" defaultRowHeight="15.6" x14ac:dyDescent="0.3"/>
  <cols>
    <col min="1" max="1" width="6.296875" style="26" customWidth="1"/>
    <col min="2" max="2" width="20.796875" style="26" customWidth="1"/>
    <col min="3" max="3" width="13.296875" style="26" customWidth="1"/>
    <col min="4" max="16384" width="11.19921875" style="26"/>
  </cols>
  <sheetData>
    <row r="3" spans="2:5" s="43" customFormat="1" x14ac:dyDescent="0.3">
      <c r="B3" s="26"/>
      <c r="C3" s="26"/>
    </row>
    <row r="4" spans="2:5" x14ac:dyDescent="0.3">
      <c r="B4" s="154" t="s">
        <v>151</v>
      </c>
      <c r="C4" s="154"/>
    </row>
    <row r="5" spans="2:5" x14ac:dyDescent="0.3">
      <c r="B5" s="154"/>
      <c r="C5" s="154"/>
    </row>
    <row r="6" spans="2:5" ht="18" x14ac:dyDescent="0.35">
      <c r="B6" s="8"/>
      <c r="C6" s="13" t="s">
        <v>137</v>
      </c>
      <c r="D6" s="40"/>
      <c r="E6" s="40"/>
    </row>
    <row r="7" spans="2:5" ht="18" x14ac:dyDescent="0.35">
      <c r="B7" s="9"/>
      <c r="C7" s="153" t="s">
        <v>138</v>
      </c>
      <c r="D7" s="153"/>
      <c r="E7" s="153"/>
    </row>
    <row r="9" spans="2:5" x14ac:dyDescent="0.3">
      <c r="B9" s="41" t="s">
        <v>10</v>
      </c>
      <c r="C9" s="42" t="s">
        <v>11</v>
      </c>
    </row>
    <row r="10" spans="2:5" x14ac:dyDescent="0.3">
      <c r="B10" s="107" t="s">
        <v>45</v>
      </c>
      <c r="C10" s="104">
        <v>0</v>
      </c>
    </row>
    <row r="11" spans="2:5" x14ac:dyDescent="0.3">
      <c r="B11" s="107" t="s">
        <v>26</v>
      </c>
      <c r="C11" s="91">
        <f>SUM(C10)</f>
        <v>0</v>
      </c>
    </row>
    <row r="12" spans="2:5" x14ac:dyDescent="0.3">
      <c r="C12" s="109"/>
      <c r="D12" s="108"/>
    </row>
    <row r="13" spans="2:5" x14ac:dyDescent="0.3">
      <c r="C13" s="109"/>
    </row>
    <row r="14" spans="2:5" x14ac:dyDescent="0.3">
      <c r="C14" s="109"/>
    </row>
    <row r="15" spans="2:5" x14ac:dyDescent="0.3">
      <c r="C15" s="109"/>
    </row>
    <row r="16" spans="2:5" x14ac:dyDescent="0.3">
      <c r="C16" s="109"/>
    </row>
    <row r="17" spans="3:3" x14ac:dyDescent="0.3">
      <c r="C17" s="110"/>
    </row>
  </sheetData>
  <sheetProtection algorithmName="SHA-512" hashValue="0bYI8EMPjbRpc01X34VXk4UbTF6jlBef3QmPUXqYItYiqBhoShQd7Cm0U/YZtlNZpkKcKNjCK8a4YUwWYzNFcQ==" saltValue="tqu3YImlo4+SzP5tBJaJww==" spinCount="100000" sheet="1" objects="1" scenarios="1"/>
  <mergeCells count="2">
    <mergeCell ref="C7:E7"/>
    <mergeCell ref="B4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578-9438-6A41-8BEE-B6CA9E637A91}">
  <dimension ref="B4:E24"/>
  <sheetViews>
    <sheetView showGridLines="0" tabSelected="1" topLeftCell="A11" zoomScale="160" zoomScaleNormal="160" workbookViewId="0">
      <selection activeCell="C26" sqref="C26"/>
    </sheetView>
  </sheetViews>
  <sheetFormatPr defaultColWidth="11.19921875" defaultRowHeight="15.6" x14ac:dyDescent="0.3"/>
  <cols>
    <col min="1" max="1" width="3.296875" style="26" customWidth="1"/>
    <col min="2" max="2" width="30" style="26" bestFit="1" customWidth="1"/>
    <col min="3" max="3" width="14.796875" style="26" bestFit="1" customWidth="1"/>
    <col min="4" max="4" width="15.796875" style="26" bestFit="1" customWidth="1"/>
    <col min="5" max="16384" width="11.19921875" style="26"/>
  </cols>
  <sheetData>
    <row r="4" spans="2:5" ht="10.050000000000001" customHeight="1" x14ac:dyDescent="0.3">
      <c r="B4" s="148" t="s">
        <v>151</v>
      </c>
      <c r="C4" s="148"/>
    </row>
    <row r="5" spans="2:5" ht="10.050000000000001" customHeight="1" x14ac:dyDescent="0.3">
      <c r="B5" s="148"/>
      <c r="C5" s="148"/>
    </row>
    <row r="6" spans="2:5" ht="10.050000000000001" customHeight="1" x14ac:dyDescent="0.3">
      <c r="B6" s="17"/>
      <c r="C6" s="15"/>
    </row>
    <row r="7" spans="2:5" ht="18" x14ac:dyDescent="0.35">
      <c r="B7" s="8"/>
      <c r="C7" s="13" t="s">
        <v>137</v>
      </c>
      <c r="E7" s="40"/>
    </row>
    <row r="8" spans="2:5" ht="19.05" customHeight="1" x14ac:dyDescent="0.35">
      <c r="B8" s="9"/>
      <c r="C8" s="19" t="s">
        <v>138</v>
      </c>
      <c r="E8" s="13"/>
    </row>
    <row r="10" spans="2:5" x14ac:dyDescent="0.3">
      <c r="B10" s="41" t="s">
        <v>10</v>
      </c>
      <c r="C10" s="42" t="s">
        <v>11</v>
      </c>
    </row>
    <row r="11" spans="2:5" x14ac:dyDescent="0.3">
      <c r="B11" s="33" t="s">
        <v>33</v>
      </c>
      <c r="C11" s="47">
        <v>100000</v>
      </c>
    </row>
    <row r="12" spans="2:5" x14ac:dyDescent="0.3">
      <c r="B12" s="33" t="s">
        <v>34</v>
      </c>
      <c r="C12" s="47">
        <v>27</v>
      </c>
    </row>
    <row r="13" spans="2:5" x14ac:dyDescent="0.3">
      <c r="B13" s="33" t="s">
        <v>31</v>
      </c>
      <c r="C13" s="48">
        <v>60</v>
      </c>
    </row>
    <row r="14" spans="2:5" x14ac:dyDescent="0.3">
      <c r="B14" s="33" t="s">
        <v>32</v>
      </c>
      <c r="C14" s="49">
        <v>0.05</v>
      </c>
    </row>
    <row r="15" spans="2:5" x14ac:dyDescent="0.3">
      <c r="B15" s="43"/>
      <c r="C15" s="43"/>
    </row>
    <row r="16" spans="2:5" x14ac:dyDescent="0.3">
      <c r="B16" s="33" t="s">
        <v>36</v>
      </c>
      <c r="C16" s="44">
        <f>C11*12</f>
        <v>1200000</v>
      </c>
    </row>
    <row r="17" spans="2:4" x14ac:dyDescent="0.3">
      <c r="B17" s="33" t="s">
        <v>35</v>
      </c>
      <c r="C17" s="45">
        <f>C16*(1+C14)^(C13-C12)</f>
        <v>6003826.2504405444</v>
      </c>
    </row>
    <row r="18" spans="2:4" x14ac:dyDescent="0.3">
      <c r="B18" s="43"/>
      <c r="C18" s="43"/>
    </row>
    <row r="19" spans="2:4" x14ac:dyDescent="0.3">
      <c r="B19" s="35" t="s">
        <v>37</v>
      </c>
      <c r="C19" s="46">
        <f>C17*20</f>
        <v>120076525.00881089</v>
      </c>
    </row>
    <row r="20" spans="2:4" x14ac:dyDescent="0.3">
      <c r="B20" s="35" t="s">
        <v>38</v>
      </c>
      <c r="C20" s="46">
        <f>C17*25</f>
        <v>150095656.2610136</v>
      </c>
    </row>
    <row r="21" spans="2:4" x14ac:dyDescent="0.3">
      <c r="B21" s="35" t="s">
        <v>39</v>
      </c>
      <c r="C21" s="46">
        <f>C17*50</f>
        <v>300191312.52202719</v>
      </c>
    </row>
    <row r="22" spans="2:4" x14ac:dyDescent="0.3">
      <c r="B22" s="43"/>
      <c r="C22" s="43"/>
    </row>
    <row r="23" spans="2:4" x14ac:dyDescent="0.3">
      <c r="B23" s="142" t="s">
        <v>162</v>
      </c>
      <c r="C23" s="161">
        <v>40</v>
      </c>
    </row>
    <row r="24" spans="2:4" x14ac:dyDescent="0.3">
      <c r="B24" s="142" t="s">
        <v>163</v>
      </c>
      <c r="C24" s="96">
        <f>C20/(1.1)^(C13-C23)</f>
        <v>22310762.897301808</v>
      </c>
      <c r="D24" s="97"/>
    </row>
  </sheetData>
  <sheetProtection algorithmName="SHA-512" hashValue="9SeqS34vmDQAZ1Am2WlyXnkDIl2b4S1w1boPTrvgZueVuFPU8SO8KPJHzqWUgXsBPaDFJ27d1e7xcOQQuaXGMw==" saltValue="AYaaCGVC43uKFGBIPNfMcQ==" spinCount="100000" sheet="1" objects="1" scenarios="1"/>
  <mergeCells count="1">
    <mergeCell ref="B4:C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FD8A-0242-0944-8280-09E84BB9B1FD}">
  <dimension ref="B4:E26"/>
  <sheetViews>
    <sheetView showGridLines="0" topLeftCell="A6" zoomScale="160" zoomScaleNormal="160" workbookViewId="0">
      <selection activeCell="C10" sqref="C10"/>
    </sheetView>
  </sheetViews>
  <sheetFormatPr defaultColWidth="11.19921875" defaultRowHeight="15.6" x14ac:dyDescent="0.3"/>
  <cols>
    <col min="1" max="1" width="5.19921875" style="26" customWidth="1"/>
    <col min="2" max="2" width="28" style="26" bestFit="1" customWidth="1"/>
    <col min="3" max="3" width="12.19921875" style="26" bestFit="1" customWidth="1"/>
    <col min="4" max="16384" width="11.19921875" style="26"/>
  </cols>
  <sheetData>
    <row r="4" spans="2:5" x14ac:dyDescent="0.3">
      <c r="B4" s="148" t="s">
        <v>151</v>
      </c>
      <c r="C4" s="148"/>
    </row>
    <row r="5" spans="2:5" x14ac:dyDescent="0.3">
      <c r="B5" s="148"/>
      <c r="C5" s="148"/>
    </row>
    <row r="6" spans="2:5" ht="18" x14ac:dyDescent="0.35">
      <c r="B6" s="8"/>
      <c r="C6" s="16" t="s">
        <v>137</v>
      </c>
      <c r="E6" s="40"/>
    </row>
    <row r="7" spans="2:5" ht="18" customHeight="1" x14ac:dyDescent="0.35">
      <c r="B7" s="9"/>
      <c r="C7" s="18" t="s">
        <v>138</v>
      </c>
      <c r="E7" s="13"/>
    </row>
    <row r="9" spans="2:5" x14ac:dyDescent="0.3">
      <c r="B9" s="50" t="s">
        <v>22</v>
      </c>
      <c r="C9" s="42" t="s">
        <v>11</v>
      </c>
    </row>
    <row r="10" spans="2:5" x14ac:dyDescent="0.3">
      <c r="B10" s="33" t="s">
        <v>30</v>
      </c>
      <c r="C10" s="51">
        <v>60000</v>
      </c>
    </row>
    <row r="11" spans="2:5" x14ac:dyDescent="0.3">
      <c r="B11" s="33" t="s">
        <v>23</v>
      </c>
      <c r="C11" s="51">
        <v>0</v>
      </c>
    </row>
    <row r="12" spans="2:5" x14ac:dyDescent="0.3">
      <c r="B12" s="33" t="s">
        <v>24</v>
      </c>
      <c r="C12" s="51">
        <v>0</v>
      </c>
    </row>
    <row r="13" spans="2:5" x14ac:dyDescent="0.3">
      <c r="B13" s="33" t="s">
        <v>25</v>
      </c>
      <c r="C13" s="51">
        <v>0</v>
      </c>
    </row>
    <row r="14" spans="2:5" x14ac:dyDescent="0.3">
      <c r="B14" s="35" t="s">
        <v>26</v>
      </c>
      <c r="C14" s="52">
        <f>SUM(C10:C13)</f>
        <v>60000</v>
      </c>
    </row>
    <row r="15" spans="2:5" x14ac:dyDescent="0.3">
      <c r="B15" s="43"/>
      <c r="C15" s="43"/>
    </row>
    <row r="16" spans="2:5" x14ac:dyDescent="0.3">
      <c r="B16" s="50" t="s">
        <v>28</v>
      </c>
      <c r="C16" s="42" t="s">
        <v>11</v>
      </c>
    </row>
    <row r="17" spans="2:3" x14ac:dyDescent="0.3">
      <c r="B17" s="33" t="s">
        <v>27</v>
      </c>
      <c r="C17" s="51">
        <v>30000</v>
      </c>
    </row>
    <row r="18" spans="2:3" ht="31.2" x14ac:dyDescent="0.3">
      <c r="B18" s="53" t="s">
        <v>73</v>
      </c>
      <c r="C18" s="54">
        <v>0</v>
      </c>
    </row>
    <row r="19" spans="2:3" x14ac:dyDescent="0.3">
      <c r="B19" s="33" t="s">
        <v>72</v>
      </c>
      <c r="C19" s="51">
        <v>0</v>
      </c>
    </row>
    <row r="20" spans="2:3" x14ac:dyDescent="0.3">
      <c r="B20" s="33" t="s">
        <v>71</v>
      </c>
      <c r="C20" s="51">
        <v>0</v>
      </c>
    </row>
    <row r="21" spans="2:3" x14ac:dyDescent="0.3">
      <c r="B21" s="33" t="s">
        <v>25</v>
      </c>
      <c r="C21" s="51">
        <v>0</v>
      </c>
    </row>
    <row r="22" spans="2:3" x14ac:dyDescent="0.3">
      <c r="B22" s="35" t="s">
        <v>26</v>
      </c>
      <c r="C22" s="52">
        <f>SUM(C17:C21)</f>
        <v>30000</v>
      </c>
    </row>
    <row r="23" spans="2:3" x14ac:dyDescent="0.3">
      <c r="B23" s="43"/>
      <c r="C23" s="43"/>
    </row>
    <row r="24" spans="2:3" x14ac:dyDescent="0.3">
      <c r="B24" s="35" t="s">
        <v>29</v>
      </c>
      <c r="C24" s="55">
        <f>C14-C22</f>
        <v>30000</v>
      </c>
    </row>
    <row r="25" spans="2:3" x14ac:dyDescent="0.3">
      <c r="B25" s="33" t="s">
        <v>83</v>
      </c>
      <c r="C25" s="51">
        <v>5000</v>
      </c>
    </row>
    <row r="26" spans="2:3" x14ac:dyDescent="0.3">
      <c r="B26" s="35" t="s">
        <v>26</v>
      </c>
      <c r="C26" s="52">
        <f>SUM(C24:C25)</f>
        <v>35000</v>
      </c>
    </row>
  </sheetData>
  <sheetProtection algorithmName="SHA-512" hashValue="//Ohh7mgwpXv3n1xQ91YO8ZXOYR8KhG9wdGrfaNjWtLWrkVpggwZ+807f+hV2Si8S0skWpVvYq6D7+L3hONRsw==" saltValue="krT1uqm/hTMHbJ4Y/PU31A==" spinCount="100000" sheet="1" objects="1" scenarios="1"/>
  <mergeCells count="1">
    <mergeCell ref="B4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2D8B-67B9-CA4A-80BD-48C9265BDB81}">
  <sheetPr>
    <outlinePr summaryBelow="0" summaryRight="0"/>
  </sheetPr>
  <dimension ref="B1:O40"/>
  <sheetViews>
    <sheetView showGridLines="0" topLeftCell="G7" zoomScale="150" zoomScaleNormal="130" workbookViewId="0">
      <selection activeCell="L14" sqref="L14"/>
    </sheetView>
  </sheetViews>
  <sheetFormatPr defaultColWidth="12.69921875" defaultRowHeight="15.75" customHeight="1" x14ac:dyDescent="0.3"/>
  <cols>
    <col min="1" max="1" width="1.69921875" style="58" customWidth="1"/>
    <col min="2" max="2" width="33.69921875" style="58" customWidth="1"/>
    <col min="3" max="3" width="22" style="58" customWidth="1"/>
    <col min="4" max="4" width="16.5" style="58" customWidth="1"/>
    <col min="5" max="5" width="17" style="58" bestFit="1" customWidth="1"/>
    <col min="6" max="6" width="16.296875" style="58" customWidth="1"/>
    <col min="7" max="7" width="13.296875" style="58" bestFit="1" customWidth="1"/>
    <col min="8" max="8" width="12.69921875" style="58"/>
    <col min="9" max="9" width="17" style="58" bestFit="1" customWidth="1"/>
    <col min="10" max="10" width="16.296875" style="58" customWidth="1"/>
    <col min="11" max="11" width="13.296875" style="58" bestFit="1" customWidth="1"/>
    <col min="12" max="12" width="12.69921875" style="58"/>
    <col min="13" max="13" width="17" style="58" bestFit="1" customWidth="1"/>
    <col min="14" max="14" width="16.296875" style="58" customWidth="1"/>
    <col min="15" max="15" width="13.296875" style="58" bestFit="1" customWidth="1"/>
    <col min="16" max="16384" width="12.69921875" style="58"/>
  </cols>
  <sheetData>
    <row r="1" spans="2:15" ht="15.6" x14ac:dyDescent="0.3">
      <c r="B1" s="56"/>
      <c r="C1" s="56"/>
      <c r="D1" s="57"/>
      <c r="E1" s="56"/>
      <c r="F1" s="56"/>
    </row>
    <row r="2" spans="2:15" ht="18" x14ac:dyDescent="0.35">
      <c r="B2" s="8"/>
      <c r="C2" s="13" t="s">
        <v>137</v>
      </c>
      <c r="E2" s="26"/>
      <c r="F2" s="26"/>
    </row>
    <row r="3" spans="2:15" ht="18" customHeight="1" x14ac:dyDescent="0.35">
      <c r="B3" s="9"/>
      <c r="C3" s="19" t="s">
        <v>138</v>
      </c>
      <c r="E3" s="26"/>
      <c r="F3" s="26"/>
    </row>
    <row r="4" spans="2:15" ht="15.6" x14ac:dyDescent="0.3">
      <c r="B4" s="56"/>
      <c r="C4" s="56"/>
      <c r="D4" s="57"/>
      <c r="E4" s="148" t="s">
        <v>151</v>
      </c>
      <c r="F4" s="148"/>
      <c r="G4" s="148"/>
    </row>
    <row r="5" spans="2:15" ht="15.45" customHeight="1" x14ac:dyDescent="0.3">
      <c r="B5" s="59" t="s">
        <v>93</v>
      </c>
      <c r="C5" s="60">
        <f>C30-C40</f>
        <v>10280050</v>
      </c>
      <c r="D5" s="57"/>
      <c r="E5" s="148"/>
      <c r="F5" s="148"/>
      <c r="G5" s="148"/>
    </row>
    <row r="6" spans="2:15" ht="15.6" x14ac:dyDescent="0.3">
      <c r="B6" s="59" t="s">
        <v>92</v>
      </c>
      <c r="C6" s="60">
        <f>C29</f>
        <v>1430050</v>
      </c>
      <c r="D6" s="57"/>
    </row>
    <row r="7" spans="2:15" ht="15.6" x14ac:dyDescent="0.3">
      <c r="B7" s="56"/>
      <c r="C7" s="56"/>
      <c r="D7" s="57"/>
      <c r="E7" s="56"/>
      <c r="F7" s="56"/>
    </row>
    <row r="8" spans="2:15" ht="19.05" customHeight="1" x14ac:dyDescent="0.35">
      <c r="B8" s="150" t="s">
        <v>8</v>
      </c>
      <c r="C8" s="151"/>
      <c r="D8" s="61"/>
      <c r="E8" s="149" t="s">
        <v>91</v>
      </c>
      <c r="F8" s="149"/>
      <c r="G8" s="149"/>
      <c r="I8" s="149" t="s">
        <v>159</v>
      </c>
      <c r="J8" s="149"/>
      <c r="K8" s="149"/>
      <c r="M8" s="149" t="s">
        <v>160</v>
      </c>
      <c r="N8" s="149"/>
      <c r="O8" s="149"/>
    </row>
    <row r="9" spans="2:15" ht="15.6" x14ac:dyDescent="0.3">
      <c r="B9" s="41" t="s">
        <v>10</v>
      </c>
      <c r="C9" s="42" t="s">
        <v>11</v>
      </c>
      <c r="D9" s="62"/>
      <c r="E9" s="63" t="s">
        <v>10</v>
      </c>
      <c r="F9" s="64" t="s">
        <v>11</v>
      </c>
      <c r="G9" s="64" t="s">
        <v>50</v>
      </c>
      <c r="I9" s="63" t="s">
        <v>10</v>
      </c>
      <c r="J9" s="64" t="s">
        <v>11</v>
      </c>
      <c r="K9" s="64" t="s">
        <v>50</v>
      </c>
      <c r="M9" s="63" t="s">
        <v>10</v>
      </c>
      <c r="N9" s="64" t="s">
        <v>11</v>
      </c>
      <c r="O9" s="64" t="s">
        <v>50</v>
      </c>
    </row>
    <row r="10" spans="2:15" ht="15.6" x14ac:dyDescent="0.3">
      <c r="B10" s="65" t="s">
        <v>43</v>
      </c>
      <c r="C10" s="66"/>
      <c r="D10" s="62"/>
      <c r="E10" s="67" t="s">
        <v>90</v>
      </c>
      <c r="F10" s="68">
        <f>C11+C12+C28</f>
        <v>8000000</v>
      </c>
      <c r="G10" s="69">
        <f>F10/$F$16</f>
        <v>0.74906016357601324</v>
      </c>
      <c r="I10" s="67" t="s">
        <v>90</v>
      </c>
      <c r="J10" s="70">
        <f>C28</f>
        <v>0</v>
      </c>
      <c r="K10" s="69">
        <f>J10/$J$16</f>
        <v>0</v>
      </c>
      <c r="M10" s="67" t="s">
        <v>2</v>
      </c>
      <c r="N10" s="70">
        <f>SUMIF('Financial Goals'!$E$9:$E$23,"Short Term",'Financial Goals'!$G$9:$G$23)*VLOOKUP('Net worth'!$M10,'Returns &amp; Asset Mix assumption'!$B$9:$F$15,3,0)+SUMIF('Financial Goals'!$E$9:$E$23,"Medium Term",'Financial Goals'!$G$9:$G$23)*VLOOKUP('Net worth'!$M10,'Returns &amp; Asset Mix assumption'!$B$9:$F$15,4,0)+SUMIF('Financial Goals'!$E$9:$E$23,"Long Term",'Financial Goals'!$G$9:$G$23)*VLOOKUP('Net worth'!$M10,'Returns &amp; Asset Mix assumption'!$B$9:$F$15,5,0)</f>
        <v>42502.5</v>
      </c>
      <c r="O10" s="69">
        <f>N10/$N$16</f>
        <v>2.777850397045848E-2</v>
      </c>
    </row>
    <row r="11" spans="2:15" ht="15.6" x14ac:dyDescent="0.3">
      <c r="B11" s="71" t="s">
        <v>12</v>
      </c>
      <c r="C11" s="72">
        <f>'Real estate &amp; REIT'!C11</f>
        <v>0</v>
      </c>
      <c r="D11" s="62"/>
      <c r="E11" s="67" t="s">
        <v>88</v>
      </c>
      <c r="F11" s="68">
        <f>C21+C22+C15</f>
        <v>345845</v>
      </c>
      <c r="G11" s="69">
        <f>F11/$F$16</f>
        <v>3.2382339033993283E-2</v>
      </c>
      <c r="I11" s="67" t="s">
        <v>88</v>
      </c>
      <c r="J11" s="70">
        <f>C21+C22+C15</f>
        <v>345845</v>
      </c>
      <c r="K11" s="69">
        <f t="shared" ref="K11:K15" si="0">J11/$J$16</f>
        <v>0.20585399244070118</v>
      </c>
      <c r="M11" s="67" t="s">
        <v>88</v>
      </c>
      <c r="N11" s="70">
        <f>SUMIF('Financial Goals'!$E$9:$E$23,"Short Term",'Financial Goals'!$G$9:$G$23)*VLOOKUP('Net worth'!$M11,'Returns &amp; Asset Mix assumption'!$B$9:$F$15,3,0)+SUMIF('Financial Goals'!$E$9:$E$23,"Medium Term",'Financial Goals'!$G$9:$G$23)*VLOOKUP('Net worth'!$M11,'Returns &amp; Asset Mix assumption'!$B$9:$F$15,4,0)+SUMIF('Financial Goals'!$E$9:$E$23,"Long Term",'Financial Goals'!$G$9:$G$23)*VLOOKUP('Net worth'!$M11,'Returns &amp; Asset Mix assumption'!$B$9:$F$15,5,0)</f>
        <v>510030</v>
      </c>
      <c r="O11" s="69">
        <f t="shared" ref="O11:O15" si="1">N11/$N$16</f>
        <v>0.33334204764550179</v>
      </c>
    </row>
    <row r="12" spans="2:15" ht="15.6" x14ac:dyDescent="0.3">
      <c r="B12" s="71" t="s">
        <v>14</v>
      </c>
      <c r="C12" s="72">
        <f>'Real estate &amp; REIT'!C12</f>
        <v>8000000</v>
      </c>
      <c r="D12" s="62"/>
      <c r="E12" s="67" t="s">
        <v>89</v>
      </c>
      <c r="F12" s="68">
        <f>SUM(C24:C24)</f>
        <v>150000</v>
      </c>
      <c r="G12" s="69">
        <f>F12/F16</f>
        <v>1.4044878067050248E-2</v>
      </c>
      <c r="I12" s="67" t="s">
        <v>89</v>
      </c>
      <c r="J12" s="70">
        <f>C24</f>
        <v>150000</v>
      </c>
      <c r="K12" s="69">
        <f t="shared" si="0"/>
        <v>8.9283057051873463E-2</v>
      </c>
      <c r="M12" s="67" t="s">
        <v>51</v>
      </c>
      <c r="N12" s="70">
        <f>SUMIF('Financial Goals'!$E$9:$E$23,"Short Term",'Financial Goals'!$G$9:$G$23)*VLOOKUP('Net worth'!$M12,'Returns &amp; Asset Mix assumption'!$B$9:$F$15,3,0)+SUMIF('Financial Goals'!$E$9:$E$23,"Medium Term",'Financial Goals'!$G$9:$G$23)*VLOOKUP('Net worth'!$M12,'Returns &amp; Asset Mix assumption'!$B$9:$F$15,4,0)+SUMIF('Financial Goals'!$E$9:$E$23,"Long Term",'Financial Goals'!$G$9:$G$23)*VLOOKUP('Net worth'!$M12,'Returns &amp; Asset Mix assumption'!$B$9:$F$15,5,0)</f>
        <v>85005</v>
      </c>
      <c r="O12" s="69">
        <f t="shared" si="1"/>
        <v>5.5557007940916961E-2</v>
      </c>
    </row>
    <row r="13" spans="2:15" ht="15.6" x14ac:dyDescent="0.3">
      <c r="B13" s="71" t="s">
        <v>20</v>
      </c>
      <c r="C13" s="72">
        <f>Gold!C11</f>
        <v>1000000</v>
      </c>
      <c r="D13" s="62"/>
      <c r="E13" s="67" t="s">
        <v>0</v>
      </c>
      <c r="F13" s="68">
        <f>SUM(C19:C20)+C16+C25+C23</f>
        <v>1174205</v>
      </c>
      <c r="G13" s="69">
        <f>F13/$F$16</f>
        <v>0.10994377367147158</v>
      </c>
      <c r="I13" s="67" t="s">
        <v>0</v>
      </c>
      <c r="J13" s="70">
        <f>C19+C20+C25+C23+C16</f>
        <v>1174205</v>
      </c>
      <c r="K13" s="69">
        <f t="shared" si="0"/>
        <v>0.69891074670396713</v>
      </c>
      <c r="M13" s="67" t="s">
        <v>0</v>
      </c>
      <c r="N13" s="70">
        <f>SUMIF('Financial Goals'!$E$9:$E$23,"Short Term",'Financial Goals'!$G$9:$G$23)*VLOOKUP('Net worth'!$M13,'Returns &amp; Asset Mix assumption'!$B$9:$F$15,3,0)+SUMIF('Financial Goals'!$E$9:$E$23,"Medium Term",'Financial Goals'!$G$9:$G$23)*VLOOKUP('Net worth'!$M13,'Returns &amp; Asset Mix assumption'!$B$9:$F$15,4,0)+SUMIF('Financial Goals'!$E$9:$E$23,"Long Term",'Financial Goals'!$G$9:$G$23)*VLOOKUP('Net worth'!$M13,'Returns &amp; Asset Mix assumption'!$B$9:$F$15,5,0)</f>
        <v>807507.5</v>
      </c>
      <c r="O13" s="69">
        <f t="shared" si="1"/>
        <v>0.52776543250220576</v>
      </c>
    </row>
    <row r="14" spans="2:15" ht="15.6" x14ac:dyDescent="0.3">
      <c r="B14" s="71" t="s">
        <v>44</v>
      </c>
      <c r="C14" s="72">
        <f>Gold!C12</f>
        <v>0</v>
      </c>
      <c r="D14" s="62"/>
      <c r="E14" s="67" t="s">
        <v>49</v>
      </c>
      <c r="F14" s="68">
        <f>C13+C14+C26</f>
        <v>1000000</v>
      </c>
      <c r="G14" s="69">
        <f>F14/$F$16</f>
        <v>9.3632520447001655E-2</v>
      </c>
      <c r="I14" s="67" t="s">
        <v>49</v>
      </c>
      <c r="J14" s="70">
        <f>C26+C14</f>
        <v>0</v>
      </c>
      <c r="K14" s="69">
        <f t="shared" si="0"/>
        <v>0</v>
      </c>
      <c r="M14" s="67" t="s">
        <v>76</v>
      </c>
      <c r="N14" s="70">
        <f>SUMIF('Financial Goals'!$E$9:$E$23,"Short Term",'Financial Goals'!$G$9:$G$23)*VLOOKUP('Net worth'!$M14,'Returns &amp; Asset Mix assumption'!$B$9:$F$15,3,0)+SUMIF('Financial Goals'!$E$9:$E$23,"Medium Term",'Financial Goals'!$G$9:$G$23)*VLOOKUP('Net worth'!$M14,'Returns &amp; Asset Mix assumption'!$B$9:$F$15,4,0)+SUMIF('Financial Goals'!$E$9:$E$23,"Long Term",'Financial Goals'!$G$9:$G$23)*VLOOKUP('Net worth'!$M14,'Returns &amp; Asset Mix assumption'!$B$9:$F$15,5,0)</f>
        <v>42502.5</v>
      </c>
      <c r="O14" s="69">
        <f t="shared" si="1"/>
        <v>2.777850397045848E-2</v>
      </c>
    </row>
    <row r="15" spans="2:15" ht="15.6" x14ac:dyDescent="0.3">
      <c r="B15" s="71" t="s">
        <v>45</v>
      </c>
      <c r="C15" s="72">
        <f>Miscellaneous!C10</f>
        <v>0</v>
      </c>
      <c r="D15" s="62"/>
      <c r="E15" s="67" t="s">
        <v>1</v>
      </c>
      <c r="F15" s="68">
        <f>C27</f>
        <v>10000</v>
      </c>
      <c r="G15" s="69">
        <f>F15/$F$16</f>
        <v>9.3632520447001655E-4</v>
      </c>
      <c r="I15" s="67" t="s">
        <v>1</v>
      </c>
      <c r="J15" s="70">
        <f>C27</f>
        <v>10000</v>
      </c>
      <c r="K15" s="69">
        <f t="shared" si="0"/>
        <v>5.9522038034582302E-3</v>
      </c>
      <c r="M15" s="67" t="s">
        <v>1</v>
      </c>
      <c r="N15" s="70">
        <f>SUMIF('Financial Goals'!$E$9:$E$23,"Short Term",'Financial Goals'!$G$9:$G$23)*VLOOKUP('Net worth'!$M15,'Returns &amp; Asset Mix assumption'!$B$9:$F$15,3,0)+SUMIF('Financial Goals'!$E$9:$E$23,"Medium Term",'Financial Goals'!$G$9:$G$23)*VLOOKUP('Net worth'!$M15,'Returns &amp; Asset Mix assumption'!$B$9:$F$15,4,0)+SUMIF('Financial Goals'!$E$9:$E$23,"Long Term",'Financial Goals'!$G$9:$G$23)*VLOOKUP('Net worth'!$M15,'Returns &amp; Asset Mix assumption'!$B$9:$F$15,5,0)</f>
        <v>42502.5</v>
      </c>
      <c r="O15" s="69">
        <f t="shared" si="1"/>
        <v>2.777850397045848E-2</v>
      </c>
    </row>
    <row r="16" spans="2:15" ht="15.6" x14ac:dyDescent="0.3">
      <c r="B16" s="71" t="s">
        <v>42</v>
      </c>
      <c r="C16" s="72">
        <f>Debt!L8</f>
        <v>250000</v>
      </c>
      <c r="D16" s="62"/>
      <c r="E16" s="73" t="s">
        <v>26</v>
      </c>
      <c r="F16" s="74">
        <f>SUM(F10:F15)</f>
        <v>10680050</v>
      </c>
      <c r="G16" s="75">
        <f>SUM(G10:G15)</f>
        <v>1</v>
      </c>
      <c r="I16" s="73" t="s">
        <v>26</v>
      </c>
      <c r="J16" s="76">
        <f>SUM(J10:J15)</f>
        <v>1680050</v>
      </c>
      <c r="K16" s="75">
        <f>SUM(K10:K15)</f>
        <v>0.99999999999999989</v>
      </c>
      <c r="M16" s="73" t="s">
        <v>26</v>
      </c>
      <c r="N16" s="76">
        <f>SUM(N10:N15)</f>
        <v>1530050</v>
      </c>
      <c r="O16" s="75">
        <f>SUM(O10:O15)</f>
        <v>0.99999999999999989</v>
      </c>
    </row>
    <row r="17" spans="2:6" ht="15.6" x14ac:dyDescent="0.3">
      <c r="B17" s="77" t="s">
        <v>84</v>
      </c>
      <c r="C17" s="78">
        <f>SUM(C11:C16)</f>
        <v>9250000</v>
      </c>
      <c r="D17" s="62"/>
    </row>
    <row r="18" spans="2:6" ht="15.6" x14ac:dyDescent="0.3">
      <c r="B18" s="65" t="s">
        <v>47</v>
      </c>
      <c r="C18" s="66"/>
      <c r="D18" s="62"/>
    </row>
    <row r="19" spans="2:6" ht="15.6" x14ac:dyDescent="0.3">
      <c r="B19" s="71" t="s">
        <v>40</v>
      </c>
      <c r="C19" s="72">
        <f>Debt!F8</f>
        <v>500000</v>
      </c>
      <c r="D19" s="62"/>
    </row>
    <row r="20" spans="2:6" ht="15.6" x14ac:dyDescent="0.3">
      <c r="B20" s="71" t="s">
        <v>41</v>
      </c>
      <c r="C20" s="72">
        <f>Debt!I8</f>
        <v>220000</v>
      </c>
      <c r="D20" s="62"/>
    </row>
    <row r="21" spans="2:6" ht="15.6" x14ac:dyDescent="0.3">
      <c r="B21" s="71" t="s">
        <v>86</v>
      </c>
      <c r="C21" s="72">
        <f>'Domestic Equity'!C24</f>
        <v>100000</v>
      </c>
      <c r="D21" s="62"/>
    </row>
    <row r="22" spans="2:6" ht="15.6" x14ac:dyDescent="0.3">
      <c r="B22" s="71" t="s">
        <v>87</v>
      </c>
      <c r="C22" s="72">
        <f>SUM('Domestic Equity'!J21:J23)</f>
        <v>245845</v>
      </c>
      <c r="D22" s="62"/>
    </row>
    <row r="23" spans="2:6" ht="15.6" x14ac:dyDescent="0.3">
      <c r="B23" s="71" t="s">
        <v>143</v>
      </c>
      <c r="C23" s="72">
        <f>'Domestic Equity'!J24</f>
        <v>24205</v>
      </c>
      <c r="D23" s="62"/>
    </row>
    <row r="24" spans="2:6" ht="15.6" x14ac:dyDescent="0.3">
      <c r="B24" s="71" t="s">
        <v>89</v>
      </c>
      <c r="C24" s="72">
        <f>'US equity'!C15</f>
        <v>150000</v>
      </c>
    </row>
    <row r="25" spans="2:6" ht="15.6" x14ac:dyDescent="0.3">
      <c r="B25" s="71" t="s">
        <v>152</v>
      </c>
      <c r="C25" s="72">
        <f>Debt!C8</f>
        <v>180000</v>
      </c>
      <c r="D25" s="79" t="str">
        <f>'Cash flows'!C22*6&amp;" recommended"</f>
        <v>180000 recommended</v>
      </c>
    </row>
    <row r="26" spans="2:6" ht="15.6" x14ac:dyDescent="0.3">
      <c r="B26" s="71" t="s">
        <v>46</v>
      </c>
      <c r="C26" s="72">
        <f>Gold!C13</f>
        <v>0</v>
      </c>
      <c r="D26" s="62"/>
    </row>
    <row r="27" spans="2:6" ht="15.6" x14ac:dyDescent="0.3">
      <c r="B27" s="71" t="s">
        <v>1</v>
      </c>
      <c r="C27" s="72">
        <f>Crypto!C12</f>
        <v>10000</v>
      </c>
      <c r="D27" s="62"/>
    </row>
    <row r="28" spans="2:6" ht="15.6" x14ac:dyDescent="0.3">
      <c r="B28" s="71" t="s">
        <v>94</v>
      </c>
      <c r="C28" s="72">
        <f>'Real estate &amp; REIT'!C13</f>
        <v>0</v>
      </c>
      <c r="D28" s="62"/>
    </row>
    <row r="29" spans="2:6" ht="15.6" x14ac:dyDescent="0.3">
      <c r="B29" s="77" t="s">
        <v>85</v>
      </c>
      <c r="C29" s="78">
        <f>SUM(C19:C28)</f>
        <v>1430050</v>
      </c>
      <c r="D29" s="62"/>
      <c r="E29" s="62"/>
      <c r="F29" s="62"/>
    </row>
    <row r="30" spans="2:6" ht="15.6" x14ac:dyDescent="0.3">
      <c r="B30" s="77" t="s">
        <v>21</v>
      </c>
      <c r="C30" s="80">
        <f>C17+C29</f>
        <v>10680050</v>
      </c>
      <c r="D30" s="62"/>
      <c r="E30" s="62"/>
      <c r="F30" s="62"/>
    </row>
    <row r="31" spans="2:6" ht="15.6" x14ac:dyDescent="0.3">
      <c r="B31" s="81"/>
      <c r="C31" s="81"/>
      <c r="D31" s="62"/>
      <c r="E31" s="62"/>
      <c r="F31" s="62"/>
    </row>
    <row r="32" spans="2:6" ht="18" x14ac:dyDescent="0.35">
      <c r="B32" s="150" t="s">
        <v>9</v>
      </c>
      <c r="C32" s="151"/>
      <c r="D32" s="62"/>
      <c r="E32" s="62"/>
      <c r="F32" s="62"/>
    </row>
    <row r="33" spans="2:6" ht="15.6" x14ac:dyDescent="0.3">
      <c r="B33" s="41" t="s">
        <v>10</v>
      </c>
      <c r="C33" s="42" t="s">
        <v>11</v>
      </c>
      <c r="D33" s="62"/>
      <c r="E33" s="62"/>
      <c r="F33" s="62"/>
    </row>
    <row r="34" spans="2:6" ht="15.75" customHeight="1" x14ac:dyDescent="0.3">
      <c r="B34" s="71" t="s">
        <v>13</v>
      </c>
      <c r="C34" s="84">
        <v>0</v>
      </c>
      <c r="D34" s="82"/>
      <c r="E34" s="82"/>
      <c r="F34" s="82"/>
    </row>
    <row r="35" spans="2:6" ht="15.75" customHeight="1" x14ac:dyDescent="0.3">
      <c r="B35" s="71" t="s">
        <v>17</v>
      </c>
      <c r="C35" s="84">
        <v>0</v>
      </c>
      <c r="E35" s="82"/>
      <c r="F35" s="82"/>
    </row>
    <row r="36" spans="2:6" ht="15.75" customHeight="1" x14ac:dyDescent="0.3">
      <c r="B36" s="71" t="s">
        <v>18</v>
      </c>
      <c r="C36" s="84">
        <v>400000</v>
      </c>
    </row>
    <row r="37" spans="2:6" ht="15.75" customHeight="1" x14ac:dyDescent="0.3">
      <c r="B37" s="71" t="s">
        <v>16</v>
      </c>
      <c r="C37" s="84">
        <v>0</v>
      </c>
    </row>
    <row r="38" spans="2:6" ht="15.75" customHeight="1" x14ac:dyDescent="0.3">
      <c r="B38" s="71" t="s">
        <v>15</v>
      </c>
      <c r="C38" s="84">
        <v>0</v>
      </c>
    </row>
    <row r="39" spans="2:6" ht="15.75" customHeight="1" x14ac:dyDescent="0.3">
      <c r="B39" s="83" t="s">
        <v>48</v>
      </c>
      <c r="C39" s="84">
        <v>0</v>
      </c>
    </row>
    <row r="40" spans="2:6" ht="15.75" customHeight="1" x14ac:dyDescent="0.3">
      <c r="B40" s="77" t="s">
        <v>19</v>
      </c>
      <c r="C40" s="80">
        <f>SUM(C34:C39)</f>
        <v>400000</v>
      </c>
    </row>
  </sheetData>
  <sheetProtection algorithmName="SHA-512" hashValue="uZOmEhwgGSmNAQXS/ixp9BFKhi0mrrt1eFNX2ltuUNKk1+u07rWrdYF3ObozFxULEhxMNSxZN9dUZUABhG9sGQ==" saltValue="+BnU6XEHj2Gfq1DLAjLomg==" spinCount="100000" sheet="1" objects="1" scenarios="1"/>
  <mergeCells count="6">
    <mergeCell ref="M8:O8"/>
    <mergeCell ref="E4:G5"/>
    <mergeCell ref="B8:C8"/>
    <mergeCell ref="B32:C32"/>
    <mergeCell ref="E8:G8"/>
    <mergeCell ref="I8:K8"/>
  </mergeCells>
  <hyperlinks>
    <hyperlink ref="C11" location="'Real estate &amp; REIT'!A1" display="'Real estate &amp; REIT'!A1" xr:uid="{3937C392-F9E7-934A-965F-D9AF101A3745}"/>
    <hyperlink ref="C12" location="'Real estate &amp; REIT'!A1" display="'Real estate &amp; REIT'!A1" xr:uid="{B7F1503B-3AEE-964B-A2A2-5C9F6DA5B96C}"/>
    <hyperlink ref="C13" location="Gold!A1" display="Gold!A1" xr:uid="{FB0DE56B-F31C-854C-9FDD-96BAF277AF5D}"/>
    <hyperlink ref="C14" location="Gold!A1" display="Gold!A1" xr:uid="{2C370E20-AD18-9846-9E4F-4B82776A5E1F}"/>
    <hyperlink ref="C16" location="Debt!A1" display="Debt!A1" xr:uid="{509C78C9-418B-C040-97B5-7937A1A5E916}"/>
    <hyperlink ref="C19" location="Debt!A1" display="Debt!A1" xr:uid="{6A6DDABA-9A11-DB42-BBCC-3913BC3F646A}"/>
    <hyperlink ref="C20" location="Debt!A1" display="Debt!A1" xr:uid="{85DC3609-3ADD-BD40-A37F-D15FB83C51A9}"/>
    <hyperlink ref="C21" location="'Domestic Equity'!A1" display="'Domestic Equity'!A1" xr:uid="{3CC25521-0B02-144F-A794-11D63CF7B1FE}"/>
    <hyperlink ref="C22" location="'Domestic Equity'!A1" display="'Domestic Equity'!A1" xr:uid="{7F6825C4-4F74-AA47-A35D-D738AFE6AB19}"/>
    <hyperlink ref="C23" location="'Domestic Equity'!A1" display="'Domestic Equity'!A1" xr:uid="{C24A2D10-3D5B-A841-A917-34885F30FCCF}"/>
    <hyperlink ref="C24" location="'US equity'!A1" display="'US equity'!A1" xr:uid="{5E4F36C3-6985-6644-A177-5737E424D0D0}"/>
    <hyperlink ref="C25" location="Debt!A1" display="Debt!A1" xr:uid="{0BD865E8-12D3-D941-B870-A2AB4FD552AC}"/>
    <hyperlink ref="C26" location="Gold!A1" display="Gold!A1" xr:uid="{A61E40A0-897C-BA4F-B649-655FA4CD1F5D}"/>
    <hyperlink ref="C27" location="Crypto!A1" display="Crypto!A1" xr:uid="{4F45C1D5-BD44-F44C-909B-A02AE91234A7}"/>
    <hyperlink ref="C28" location="'Real estate &amp; REIT'!A1" display="'Real estate &amp; REIT'!A1" xr:uid="{BD79A548-28CC-EC43-9B85-4A48C7B70DC6}"/>
    <hyperlink ref="C15" location="Miscellaneous!A1" display="Miscellaneous!A1" xr:uid="{94CE517D-328B-D443-9BA6-6DB79E88BEE3}"/>
  </hyperlinks>
  <pageMargins left="0.7" right="0.7" top="0.75" bottom="0.75" header="0.3" footer="0.3"/>
  <ignoredErrors>
    <ignoredError sqref="G12" formula="1"/>
    <ignoredError sqref="K10:K16" evalErro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ACAC-00D1-A141-A5F0-DB4F5570E3F2}">
  <dimension ref="B1:Y28"/>
  <sheetViews>
    <sheetView showGridLines="0" zoomScale="170" zoomScaleNormal="170" workbookViewId="0">
      <pane xSplit="5" ySplit="8" topLeftCell="H9" activePane="bottomRight" state="frozen"/>
      <selection pane="topRight" activeCell="F1" sqref="F1"/>
      <selection pane="bottomLeft" activeCell="A3" sqref="A3"/>
      <selection pane="bottomRight" activeCell="I12" sqref="I12"/>
    </sheetView>
  </sheetViews>
  <sheetFormatPr defaultColWidth="11.19921875" defaultRowHeight="15.6" x14ac:dyDescent="0.3"/>
  <cols>
    <col min="1" max="1" width="4.69921875" style="26" customWidth="1"/>
    <col min="2" max="2" width="23" style="26" bestFit="1" customWidth="1"/>
    <col min="3" max="3" width="12.796875" style="26" customWidth="1"/>
    <col min="4" max="4" width="23.69921875" style="26" customWidth="1"/>
    <col min="5" max="5" width="15.19921875" style="26" bestFit="1" customWidth="1"/>
    <col min="6" max="6" width="23.69921875" style="26" customWidth="1"/>
    <col min="7" max="7" width="28.69921875" style="26" bestFit="1" customWidth="1"/>
    <col min="8" max="8" width="13.69921875" style="26" customWidth="1"/>
    <col min="9" max="9" width="23" style="26" customWidth="1"/>
    <col min="10" max="10" width="13" style="26" customWidth="1"/>
    <col min="11" max="11" width="28.69921875" style="26" bestFit="1" customWidth="1"/>
    <col min="12" max="12" width="1.796875" style="85" customWidth="1"/>
    <col min="13" max="13" width="14.296875" style="26" customWidth="1"/>
    <col min="14" max="17" width="11.19921875" style="26"/>
    <col min="18" max="18" width="16.69921875" style="26" customWidth="1"/>
    <col min="19" max="16384" width="11.19921875" style="26"/>
  </cols>
  <sheetData>
    <row r="1" spans="2:25" x14ac:dyDescent="0.3">
      <c r="W1" s="56"/>
      <c r="X1" s="56"/>
      <c r="Y1" s="58"/>
    </row>
    <row r="2" spans="2:25" x14ac:dyDescent="0.3">
      <c r="Y2" s="58"/>
    </row>
    <row r="3" spans="2:25" x14ac:dyDescent="0.3">
      <c r="Y3" s="58"/>
    </row>
    <row r="4" spans="2:25" ht="15.45" customHeight="1" x14ac:dyDescent="0.3">
      <c r="D4" s="148" t="s">
        <v>151</v>
      </c>
      <c r="E4" s="148"/>
      <c r="X4" s="15"/>
      <c r="Y4" s="15"/>
    </row>
    <row r="5" spans="2:25" ht="15.45" customHeight="1" x14ac:dyDescent="0.35">
      <c r="B5" s="8"/>
      <c r="C5" s="20" t="s">
        <v>137</v>
      </c>
      <c r="D5" s="148"/>
      <c r="E5" s="148"/>
      <c r="X5" s="15"/>
      <c r="Y5" s="15"/>
    </row>
    <row r="6" spans="2:25" ht="15.45" customHeight="1" x14ac:dyDescent="0.35">
      <c r="B6" s="9"/>
      <c r="C6" s="21" t="s">
        <v>138</v>
      </c>
      <c r="D6" s="40"/>
      <c r="E6" s="40"/>
      <c r="M6" s="152" t="s">
        <v>75</v>
      </c>
      <c r="N6" s="152"/>
      <c r="O6" s="152"/>
      <c r="P6" s="152"/>
      <c r="Q6" s="152"/>
      <c r="R6" s="152"/>
      <c r="X6" s="15"/>
      <c r="Y6" s="15"/>
    </row>
    <row r="7" spans="2:25" ht="15.45" customHeight="1" x14ac:dyDescent="0.3">
      <c r="D7" s="13"/>
      <c r="E7" s="13"/>
      <c r="M7" s="86"/>
      <c r="N7" s="86"/>
      <c r="O7" s="86"/>
      <c r="P7" s="86"/>
      <c r="Q7" s="86"/>
      <c r="R7" s="86"/>
      <c r="X7" s="15"/>
      <c r="Y7" s="15"/>
    </row>
    <row r="8" spans="2:25" x14ac:dyDescent="0.3">
      <c r="B8" s="87" t="s">
        <v>52</v>
      </c>
      <c r="C8" s="87" t="s">
        <v>56</v>
      </c>
      <c r="D8" s="87" t="s">
        <v>158</v>
      </c>
      <c r="E8" s="87" t="s">
        <v>53</v>
      </c>
      <c r="F8" s="87" t="s">
        <v>54</v>
      </c>
      <c r="G8" s="87" t="s">
        <v>57</v>
      </c>
      <c r="H8" s="87" t="s">
        <v>65</v>
      </c>
      <c r="I8" s="87" t="s">
        <v>55</v>
      </c>
      <c r="J8" s="88" t="s">
        <v>69</v>
      </c>
      <c r="K8" s="88" t="s">
        <v>67</v>
      </c>
      <c r="L8" s="89"/>
      <c r="M8" s="32" t="s">
        <v>5</v>
      </c>
      <c r="N8" s="32" t="s">
        <v>51</v>
      </c>
      <c r="O8" s="32" t="s">
        <v>0</v>
      </c>
      <c r="P8" s="32" t="s">
        <v>49</v>
      </c>
      <c r="Q8" s="32" t="s">
        <v>1</v>
      </c>
      <c r="R8" s="32" t="s">
        <v>2</v>
      </c>
      <c r="W8" s="15"/>
      <c r="X8" s="15"/>
      <c r="Y8" s="15"/>
    </row>
    <row r="9" spans="2:25" x14ac:dyDescent="0.3">
      <c r="B9" s="103" t="s">
        <v>66</v>
      </c>
      <c r="C9" s="103">
        <v>1</v>
      </c>
      <c r="D9" s="103">
        <v>1</v>
      </c>
      <c r="E9" s="90" t="str">
        <f t="shared" ref="E9:E23" si="0">IF(ISBLANK(D9)=TRUE,"",IF(D9&lt;3,"Short Term",IF(D9&lt;=6,"Medium Term","Long Term")))</f>
        <v>Short Term</v>
      </c>
      <c r="F9" s="104">
        <v>180000</v>
      </c>
      <c r="G9" s="104">
        <v>180000</v>
      </c>
      <c r="H9" s="105">
        <v>0.05</v>
      </c>
      <c r="I9" s="91" t="str">
        <f>IFERROR(IF(F9=G9," ",F9*(1+H9)^D9-G9*(1+HLOOKUP(E9,'Returns &amp; Asset Mix assumption'!$D$9:$F$16,8,0))^D9),"")</f>
        <v xml:space="preserve"> </v>
      </c>
      <c r="J9" s="106">
        <v>0.05</v>
      </c>
      <c r="K9" s="104">
        <v>0</v>
      </c>
      <c r="L9" s="92"/>
      <c r="M9" s="93">
        <f>IFERROR(HLOOKUP($E9,'Returns &amp; Asset Mix assumption'!$D$9:$F$16,2,0)*$K9,0)</f>
        <v>0</v>
      </c>
      <c r="N9" s="93">
        <f>IFERROR(HLOOKUP($E9,'Returns &amp; Asset Mix assumption'!$D$9:$F$16,3,0)*$K9,0)</f>
        <v>0</v>
      </c>
      <c r="O9" s="93">
        <f>IFERROR(HLOOKUP($E9,'Returns &amp; Asset Mix assumption'!$D$9:$F$16,4,0)*$K9,0)</f>
        <v>0</v>
      </c>
      <c r="P9" s="93">
        <f>IFERROR(HLOOKUP($E9,'Returns &amp; Asset Mix assumption'!$D$9:$F$16,5,0)*$K9,0)</f>
        <v>0</v>
      </c>
      <c r="Q9" s="93">
        <f>IFERROR(HLOOKUP($E9,'Returns &amp; Asset Mix assumption'!$D$9:$F$16,6,0)*$K9,0)</f>
        <v>0</v>
      </c>
      <c r="R9" s="93">
        <f>IFERROR(HLOOKUP($E9,'Returns &amp; Asset Mix assumption'!$D$9:$F$16,7,0)*$K9,0)</f>
        <v>0</v>
      </c>
    </row>
    <row r="10" spans="2:25" x14ac:dyDescent="0.3">
      <c r="B10" s="103" t="s">
        <v>68</v>
      </c>
      <c r="C10" s="103">
        <v>2</v>
      </c>
      <c r="D10" s="103">
        <v>7</v>
      </c>
      <c r="E10" s="90" t="str">
        <f t="shared" si="0"/>
        <v>Long Term</v>
      </c>
      <c r="F10" s="104">
        <v>2000000</v>
      </c>
      <c r="G10" s="104">
        <v>850050</v>
      </c>
      <c r="H10" s="105">
        <v>7.0000000000000007E-2</v>
      </c>
      <c r="I10" s="91">
        <f>IFERROR(IF(F10=G10," ",F10*(1+H10)^D10-G10*(1+HLOOKUP(E10,'Returns &amp; Asset Mix assumption'!$D$9:$F$16,8,0))^D10),"")</f>
        <v>1435563.2684915185</v>
      </c>
      <c r="J10" s="105">
        <v>0.1</v>
      </c>
      <c r="K10" s="104">
        <v>14000</v>
      </c>
      <c r="L10" s="92"/>
      <c r="M10" s="93">
        <f>IFERROR(HLOOKUP($E10,'Returns &amp; Asset Mix assumption'!$D$9:$F$16,2,0)*$K10,0)</f>
        <v>8400</v>
      </c>
      <c r="N10" s="93">
        <f>IFERROR(HLOOKUP($E10,'Returns &amp; Asset Mix assumption'!$D$9:$F$16,3,0)*$K10,0)</f>
        <v>1400</v>
      </c>
      <c r="O10" s="93">
        <f>IFERROR(HLOOKUP($E10,'Returns &amp; Asset Mix assumption'!$D$9:$F$16,4,0)*$K10,0)</f>
        <v>2100</v>
      </c>
      <c r="P10" s="93">
        <f>IFERROR(HLOOKUP($E10,'Returns &amp; Asset Mix assumption'!$D$9:$F$16,5,0)*$K10,0)</f>
        <v>700</v>
      </c>
      <c r="Q10" s="93">
        <f>IFERROR(HLOOKUP($E10,'Returns &amp; Asset Mix assumption'!$D$9:$F$16,6,0)*$K10,0)</f>
        <v>700</v>
      </c>
      <c r="R10" s="93">
        <f>IFERROR(HLOOKUP($E10,'Returns &amp; Asset Mix assumption'!$D$9:$F$16,7,0)*$K10,0)</f>
        <v>700</v>
      </c>
    </row>
    <row r="11" spans="2:25" x14ac:dyDescent="0.3">
      <c r="B11" s="103" t="s">
        <v>64</v>
      </c>
      <c r="C11" s="103">
        <v>3</v>
      </c>
      <c r="D11" s="103">
        <v>2</v>
      </c>
      <c r="E11" s="90" t="str">
        <f t="shared" si="0"/>
        <v>Short Term</v>
      </c>
      <c r="F11" s="104">
        <v>500000</v>
      </c>
      <c r="G11" s="104">
        <v>500000</v>
      </c>
      <c r="H11" s="105">
        <v>0.09</v>
      </c>
      <c r="I11" s="91" t="str">
        <f>IFERROR(IF(F11=G11," ",F11*(1+H11)^D11-G11*(1+HLOOKUP(E11,'Returns &amp; Asset Mix assumption'!$D$9:$F$16,8,0))^D11),"")</f>
        <v xml:space="preserve"> </v>
      </c>
      <c r="J11" s="105">
        <v>0.1</v>
      </c>
      <c r="K11" s="104">
        <v>0</v>
      </c>
      <c r="L11" s="92"/>
      <c r="M11" s="93">
        <f>IFERROR(HLOOKUP($E11,'Returns &amp; Asset Mix assumption'!$D$9:$F$16,2,0)*$K11,0)</f>
        <v>0</v>
      </c>
      <c r="N11" s="93">
        <f>IFERROR(HLOOKUP($E11,'Returns &amp; Asset Mix assumption'!$D$9:$F$16,3,0)*$K11,0)</f>
        <v>0</v>
      </c>
      <c r="O11" s="93">
        <f>IFERROR(HLOOKUP($E11,'Returns &amp; Asset Mix assumption'!$D$9:$F$16,4,0)*$K11,0)</f>
        <v>0</v>
      </c>
      <c r="P11" s="93">
        <f>IFERROR(HLOOKUP($E11,'Returns &amp; Asset Mix assumption'!$D$9:$F$16,5,0)*$K11,0)</f>
        <v>0</v>
      </c>
      <c r="Q11" s="93">
        <f>IFERROR(HLOOKUP($E11,'Returns &amp; Asset Mix assumption'!$D$9:$F$16,6,0)*$K11,0)</f>
        <v>0</v>
      </c>
      <c r="R11" s="93">
        <f>IFERROR(HLOOKUP($E11,'Returns &amp; Asset Mix assumption'!$D$9:$F$16,7,0)*$K11,0)</f>
        <v>0</v>
      </c>
    </row>
    <row r="12" spans="2:25" x14ac:dyDescent="0.3">
      <c r="B12" s="103" t="s">
        <v>58</v>
      </c>
      <c r="C12" s="103">
        <v>4</v>
      </c>
      <c r="D12" s="103">
        <v>33</v>
      </c>
      <c r="E12" s="90" t="str">
        <f t="shared" si="0"/>
        <v>Long Term</v>
      </c>
      <c r="F12" s="104">
        <v>30000000</v>
      </c>
      <c r="G12" s="104">
        <v>0</v>
      </c>
      <c r="H12" s="105">
        <v>0.05</v>
      </c>
      <c r="I12" s="91">
        <f>IFERROR(IF(F12=G12," ",F12*(1+H12)^D12-G12*(1+HLOOKUP(E12,'Returns &amp; Asset Mix assumption'!$D$9:$F$16,8,0))^D12),"")</f>
        <v>150095656.26101363</v>
      </c>
      <c r="J12" s="105">
        <v>0.1</v>
      </c>
      <c r="K12" s="104">
        <v>8000</v>
      </c>
      <c r="L12" s="92"/>
      <c r="M12" s="93">
        <f>IFERROR(HLOOKUP($E12,'Returns &amp; Asset Mix assumption'!$D$9:$F$16,2,0)*$K12,0)</f>
        <v>4800</v>
      </c>
      <c r="N12" s="93">
        <f>IFERROR(HLOOKUP($E12,'Returns &amp; Asset Mix assumption'!$D$9:$F$16,3,0)*$K12,0)</f>
        <v>800</v>
      </c>
      <c r="O12" s="93">
        <f>IFERROR(HLOOKUP($E12,'Returns &amp; Asset Mix assumption'!$D$9:$F$16,4,0)*$K12,0)</f>
        <v>1200</v>
      </c>
      <c r="P12" s="93">
        <f>IFERROR(HLOOKUP($E12,'Returns &amp; Asset Mix assumption'!$D$9:$F$16,5,0)*$K12,0)</f>
        <v>400</v>
      </c>
      <c r="Q12" s="93">
        <f>IFERROR(HLOOKUP($E12,'Returns &amp; Asset Mix assumption'!$D$9:$F$16,6,0)*$K12,0)</f>
        <v>400</v>
      </c>
      <c r="R12" s="93">
        <f>IFERROR(HLOOKUP($E12,'Returns &amp; Asset Mix assumption'!$D$9:$F$16,7,0)*$K12,0)</f>
        <v>400</v>
      </c>
    </row>
    <row r="13" spans="2:25" x14ac:dyDescent="0.3">
      <c r="B13" s="103" t="s">
        <v>63</v>
      </c>
      <c r="C13" s="103">
        <v>5</v>
      </c>
      <c r="D13" s="103">
        <v>1</v>
      </c>
      <c r="E13" s="90" t="str">
        <f t="shared" si="0"/>
        <v>Short Term</v>
      </c>
      <c r="F13" s="104">
        <v>40000</v>
      </c>
      <c r="G13" s="104">
        <v>0</v>
      </c>
      <c r="H13" s="105">
        <v>0.05</v>
      </c>
      <c r="I13" s="91">
        <f>IFERROR(IF(F13=G13," ",F13*(1+H13)^D13-G13*(1+HLOOKUP(E13,'Returns &amp; Asset Mix assumption'!$D$9:$F$16,8,0))^D13),"")</f>
        <v>42000</v>
      </c>
      <c r="J13" s="106">
        <v>0.05</v>
      </c>
      <c r="K13" s="104">
        <v>2500</v>
      </c>
      <c r="L13" s="92"/>
      <c r="M13" s="93">
        <f>IFERROR(HLOOKUP($E13,'Returns &amp; Asset Mix assumption'!$D$9:$F$16,2,0)*$K13,0)</f>
        <v>0</v>
      </c>
      <c r="N13" s="93">
        <f>IFERROR(HLOOKUP($E13,'Returns &amp; Asset Mix assumption'!$D$9:$F$16,3,0)*$K13,0)</f>
        <v>0</v>
      </c>
      <c r="O13" s="93">
        <f>IFERROR(HLOOKUP($E13,'Returns &amp; Asset Mix assumption'!$D$9:$F$16,4,0)*$K13,0)</f>
        <v>2500</v>
      </c>
      <c r="P13" s="93">
        <f>IFERROR(HLOOKUP($E13,'Returns &amp; Asset Mix assumption'!$D$9:$F$16,5,0)*$K13,0)</f>
        <v>0</v>
      </c>
      <c r="Q13" s="93">
        <f>IFERROR(HLOOKUP($E13,'Returns &amp; Asset Mix assumption'!$D$9:$F$16,6,0)*$K13,0)</f>
        <v>0</v>
      </c>
      <c r="R13" s="93">
        <f>IFERROR(HLOOKUP($E13,'Returns &amp; Asset Mix assumption'!$D$9:$F$16,7,0)*$K13,0)</f>
        <v>0</v>
      </c>
    </row>
    <row r="14" spans="2:25" x14ac:dyDescent="0.3">
      <c r="B14" s="103" t="s">
        <v>61</v>
      </c>
      <c r="C14" s="103">
        <v>6</v>
      </c>
      <c r="D14" s="103">
        <v>4</v>
      </c>
      <c r="E14" s="90" t="str">
        <f t="shared" si="0"/>
        <v>Medium Term</v>
      </c>
      <c r="F14" s="104">
        <v>100000</v>
      </c>
      <c r="G14" s="104">
        <v>0</v>
      </c>
      <c r="H14" s="105">
        <v>0.05</v>
      </c>
      <c r="I14" s="91">
        <f>IFERROR(IF(F14=G14," ",F14*(1+H14)^D14-G14*(1+HLOOKUP(E14,'Returns &amp; Asset Mix assumption'!$D$9:$F$16,8,0))^D14),"")</f>
        <v>121550.625</v>
      </c>
      <c r="J14" s="106">
        <v>0.05</v>
      </c>
      <c r="K14" s="104">
        <v>3500</v>
      </c>
      <c r="L14" s="92"/>
      <c r="M14" s="93">
        <f>IFERROR(HLOOKUP($E14,'Returns &amp; Asset Mix assumption'!$D$9:$F$16,2,0)*$K14,0)</f>
        <v>1400</v>
      </c>
      <c r="N14" s="93">
        <f>IFERROR(HLOOKUP($E14,'Returns &amp; Asset Mix assumption'!$D$9:$F$16,3,0)*$K14,0)</f>
        <v>0</v>
      </c>
      <c r="O14" s="93">
        <f>IFERROR(HLOOKUP($E14,'Returns &amp; Asset Mix assumption'!$D$9:$F$16,4,0)*$K14,0)</f>
        <v>1750</v>
      </c>
      <c r="P14" s="93">
        <f>IFERROR(HLOOKUP($E14,'Returns &amp; Asset Mix assumption'!$D$9:$F$16,5,0)*$K14,0)</f>
        <v>350</v>
      </c>
      <c r="Q14" s="93">
        <f>IFERROR(HLOOKUP($E14,'Returns &amp; Asset Mix assumption'!$D$9:$F$16,6,0)*$K14,0)</f>
        <v>0</v>
      </c>
      <c r="R14" s="93">
        <f>IFERROR(HLOOKUP($E14,'Returns &amp; Asset Mix assumption'!$D$9:$F$16,7,0)*$K14,0)</f>
        <v>0</v>
      </c>
    </row>
    <row r="15" spans="2:25" x14ac:dyDescent="0.3">
      <c r="B15" s="103" t="s">
        <v>74</v>
      </c>
      <c r="C15" s="103">
        <v>7</v>
      </c>
      <c r="D15" s="103">
        <v>0.5</v>
      </c>
      <c r="E15" s="90" t="str">
        <f t="shared" si="0"/>
        <v>Short Term</v>
      </c>
      <c r="F15" s="104">
        <v>25000</v>
      </c>
      <c r="G15" s="104">
        <v>0</v>
      </c>
      <c r="H15" s="105">
        <v>0.05</v>
      </c>
      <c r="I15" s="91">
        <f>IFERROR(IF(F15=G15," ",F15*(1+H15)^D15-G15*(1+HLOOKUP(E15,'Returns &amp; Asset Mix assumption'!$D$9:$F$16,8,0))^D15),"")</f>
        <v>25617.376914899</v>
      </c>
      <c r="J15" s="106">
        <v>0.05</v>
      </c>
      <c r="K15" s="104">
        <v>2000</v>
      </c>
      <c r="L15" s="92"/>
      <c r="M15" s="93">
        <f>IFERROR(HLOOKUP($E15,'Returns &amp; Asset Mix assumption'!$D$9:$F$16,2,0)*$K15,0)</f>
        <v>0</v>
      </c>
      <c r="N15" s="93">
        <f>IFERROR(HLOOKUP($E15,'Returns &amp; Asset Mix assumption'!$D$9:$F$16,3,0)*$K15,0)</f>
        <v>0</v>
      </c>
      <c r="O15" s="93">
        <f>IFERROR(HLOOKUP($E15,'Returns &amp; Asset Mix assumption'!$D$9:$F$16,4,0)*$K15,0)</f>
        <v>2000</v>
      </c>
      <c r="P15" s="93">
        <f>IFERROR(HLOOKUP($E15,'Returns &amp; Asset Mix assumption'!$D$9:$F$16,5,0)*$K15,0)</f>
        <v>0</v>
      </c>
      <c r="Q15" s="93">
        <f>IFERROR(HLOOKUP($E15,'Returns &amp; Asset Mix assumption'!$D$9:$F$16,6,0)*$K15,0)</f>
        <v>0</v>
      </c>
      <c r="R15" s="93">
        <f>IFERROR(HLOOKUP($E15,'Returns &amp; Asset Mix assumption'!$D$9:$F$16,7,0)*$K15,0)</f>
        <v>0</v>
      </c>
    </row>
    <row r="16" spans="2:25" x14ac:dyDescent="0.3">
      <c r="B16" s="103" t="s">
        <v>62</v>
      </c>
      <c r="C16" s="103">
        <v>8</v>
      </c>
      <c r="D16" s="103">
        <v>6</v>
      </c>
      <c r="E16" s="90" t="str">
        <f t="shared" si="0"/>
        <v>Medium Term</v>
      </c>
      <c r="F16" s="104">
        <v>2000000</v>
      </c>
      <c r="G16" s="104">
        <v>0</v>
      </c>
      <c r="H16" s="105">
        <v>0.05</v>
      </c>
      <c r="I16" s="91">
        <f>IFERROR(IF(F16=G16," ",F16*(1+H16)^D16-G16*(1+HLOOKUP(E16,'Returns &amp; Asset Mix assumption'!$D$9:$F$16,8,0))^D16),"")</f>
        <v>2680191.28125</v>
      </c>
      <c r="J16" s="105">
        <v>0.1</v>
      </c>
      <c r="K16" s="104">
        <v>0</v>
      </c>
      <c r="L16" s="92"/>
      <c r="M16" s="93">
        <f>IFERROR(HLOOKUP($E16,'Returns &amp; Asset Mix assumption'!$D$9:$F$16,2,0)*$K16,0)</f>
        <v>0</v>
      </c>
      <c r="N16" s="93">
        <f>IFERROR(HLOOKUP($E16,'Returns &amp; Asset Mix assumption'!$D$9:$F$16,3,0)*$K16,0)</f>
        <v>0</v>
      </c>
      <c r="O16" s="93">
        <f>IFERROR(HLOOKUP($E16,'Returns &amp; Asset Mix assumption'!$D$9:$F$16,4,0)*$K16,0)</f>
        <v>0</v>
      </c>
      <c r="P16" s="93">
        <f>IFERROR(HLOOKUP($E16,'Returns &amp; Asset Mix assumption'!$D$9:$F$16,5,0)*$K16,0)</f>
        <v>0</v>
      </c>
      <c r="Q16" s="93">
        <f>IFERROR(HLOOKUP($E16,'Returns &amp; Asset Mix assumption'!$D$9:$F$16,6,0)*$K16,0)</f>
        <v>0</v>
      </c>
      <c r="R16" s="93">
        <f>IFERROR(HLOOKUP($E16,'Returns &amp; Asset Mix assumption'!$D$9:$F$16,7,0)*$K16,0)</f>
        <v>0</v>
      </c>
    </row>
    <row r="17" spans="2:18" x14ac:dyDescent="0.3">
      <c r="B17" s="103" t="s">
        <v>60</v>
      </c>
      <c r="C17" s="103">
        <v>9</v>
      </c>
      <c r="D17" s="103">
        <v>35</v>
      </c>
      <c r="E17" s="90" t="str">
        <f t="shared" si="0"/>
        <v>Long Term</v>
      </c>
      <c r="F17" s="104">
        <v>2000000</v>
      </c>
      <c r="G17" s="104">
        <v>0</v>
      </c>
      <c r="H17" s="105">
        <v>0.05</v>
      </c>
      <c r="I17" s="91">
        <f>IFERROR(IF(F17=G17," ",F17*(1+H17)^D17-G17*(1+HLOOKUP(E17,'Returns &amp; Asset Mix assumption'!$D$9:$F$16,8,0))^D17),"")</f>
        <v>11032030.735184502</v>
      </c>
      <c r="J17" s="105">
        <v>0.1</v>
      </c>
      <c r="K17" s="104">
        <v>0</v>
      </c>
      <c r="L17" s="92"/>
      <c r="M17" s="93">
        <f>IFERROR(HLOOKUP($E17,'Returns &amp; Asset Mix assumption'!$D$9:$F$16,2,0)*$K17,0)</f>
        <v>0</v>
      </c>
      <c r="N17" s="93">
        <f>IFERROR(HLOOKUP($E17,'Returns &amp; Asset Mix assumption'!$D$9:$F$16,3,0)*$K17,0)</f>
        <v>0</v>
      </c>
      <c r="O17" s="93">
        <f>IFERROR(HLOOKUP($E17,'Returns &amp; Asset Mix assumption'!$D$9:$F$16,4,0)*$K17,0)</f>
        <v>0</v>
      </c>
      <c r="P17" s="93">
        <f>IFERROR(HLOOKUP($E17,'Returns &amp; Asset Mix assumption'!$D$9:$F$16,5,0)*$K17,0)</f>
        <v>0</v>
      </c>
      <c r="Q17" s="93">
        <f>IFERROR(HLOOKUP($E17,'Returns &amp; Asset Mix assumption'!$D$9:$F$16,6,0)*$K17,0)</f>
        <v>0</v>
      </c>
      <c r="R17" s="93">
        <f>IFERROR(HLOOKUP($E17,'Returns &amp; Asset Mix assumption'!$D$9:$F$16,7,0)*$K17,0)</f>
        <v>0</v>
      </c>
    </row>
    <row r="18" spans="2:18" x14ac:dyDescent="0.3">
      <c r="B18" s="103" t="s">
        <v>59</v>
      </c>
      <c r="C18" s="103">
        <v>10</v>
      </c>
      <c r="D18" s="103">
        <v>25</v>
      </c>
      <c r="E18" s="90" t="str">
        <f t="shared" si="0"/>
        <v>Long Term</v>
      </c>
      <c r="F18" s="104">
        <v>3000000</v>
      </c>
      <c r="G18" s="104">
        <v>0</v>
      </c>
      <c r="H18" s="105">
        <v>0.09</v>
      </c>
      <c r="I18" s="91">
        <f>IFERROR(IF(F18=G18," ",F18*(1+H18)^D18-G18*(1+HLOOKUP(E18,'Returns &amp; Asset Mix assumption'!$D$9:$F$16,8,0))^D18),"")</f>
        <v>25869241.98120958</v>
      </c>
      <c r="J18" s="105">
        <v>0.1</v>
      </c>
      <c r="K18" s="104">
        <v>0</v>
      </c>
      <c r="L18" s="92"/>
      <c r="M18" s="93">
        <f>IFERROR(HLOOKUP($E18,'Returns &amp; Asset Mix assumption'!$D$9:$F$16,2,0)*$K18,0)</f>
        <v>0</v>
      </c>
      <c r="N18" s="93">
        <f>IFERROR(HLOOKUP($E18,'Returns &amp; Asset Mix assumption'!$D$9:$F$16,3,0)*$K18,0)</f>
        <v>0</v>
      </c>
      <c r="O18" s="93">
        <f>IFERROR(HLOOKUP($E18,'Returns &amp; Asset Mix assumption'!$D$9:$F$16,4,0)*$K18,0)</f>
        <v>0</v>
      </c>
      <c r="P18" s="93">
        <f>IFERROR(HLOOKUP($E18,'Returns &amp; Asset Mix assumption'!$D$9:$F$16,5,0)*$K18,0)</f>
        <v>0</v>
      </c>
      <c r="Q18" s="93">
        <f>IFERROR(HLOOKUP($E18,'Returns &amp; Asset Mix assumption'!$D$9:$F$16,6,0)*$K18,0)</f>
        <v>0</v>
      </c>
      <c r="R18" s="93">
        <f>IFERROR(HLOOKUP($E18,'Returns &amp; Asset Mix assumption'!$D$9:$F$16,7,0)*$K18,0)</f>
        <v>0</v>
      </c>
    </row>
    <row r="19" spans="2:18" x14ac:dyDescent="0.3">
      <c r="B19" s="103"/>
      <c r="C19" s="103"/>
      <c r="D19" s="103"/>
      <c r="E19" s="90" t="str">
        <f t="shared" si="0"/>
        <v/>
      </c>
      <c r="F19" s="104"/>
      <c r="G19" s="104"/>
      <c r="H19" s="105"/>
      <c r="I19" s="91" t="str">
        <f>IFERROR(IF(F19=G19," ",F19*(1+H19)^D19-G19*(1+HLOOKUP(E19,'Returns &amp; Asset Mix assumption'!$D$9:$F$16,8,0))^D19),"")</f>
        <v xml:space="preserve"> </v>
      </c>
      <c r="J19" s="103"/>
      <c r="K19" s="104"/>
      <c r="L19" s="92"/>
      <c r="M19" s="93">
        <f>IFERROR(HLOOKUP($E19,'Returns &amp; Asset Mix assumption'!$D$9:$F$16,2,0)*$K19,0)</f>
        <v>0</v>
      </c>
      <c r="N19" s="93">
        <f>IFERROR(HLOOKUP($E19,'Returns &amp; Asset Mix assumption'!$D$9:$F$16,3,0)*$K19,0)</f>
        <v>0</v>
      </c>
      <c r="O19" s="93">
        <f>IFERROR(HLOOKUP($E19,'Returns &amp; Asset Mix assumption'!$D$9:$F$16,4,0)*$K19,0)</f>
        <v>0</v>
      </c>
      <c r="P19" s="93">
        <f>IFERROR(HLOOKUP($E19,'Returns &amp; Asset Mix assumption'!$D$9:$F$16,5,0)*$K19,0)</f>
        <v>0</v>
      </c>
      <c r="Q19" s="93">
        <f>IFERROR(HLOOKUP($E19,'Returns &amp; Asset Mix assumption'!$D$9:$F$16,6,0)*$K19,0)</f>
        <v>0</v>
      </c>
      <c r="R19" s="93">
        <f>IFERROR(HLOOKUP($E19,'Returns &amp; Asset Mix assumption'!$D$9:$F$16,7,0)*$K19,0)</f>
        <v>0</v>
      </c>
    </row>
    <row r="20" spans="2:18" x14ac:dyDescent="0.3">
      <c r="B20" s="103"/>
      <c r="C20" s="103"/>
      <c r="D20" s="103"/>
      <c r="E20" s="90" t="str">
        <f t="shared" si="0"/>
        <v/>
      </c>
      <c r="F20" s="104"/>
      <c r="G20" s="104"/>
      <c r="H20" s="105"/>
      <c r="I20" s="91" t="str">
        <f>IFERROR(IF(F20=G20," ",F20*(1+H20)^D20-G20*(1+HLOOKUP(E20,'Returns &amp; Asset Mix assumption'!$D$9:$F$16,8,0))^D20),"")</f>
        <v xml:space="preserve"> </v>
      </c>
      <c r="J20" s="103"/>
      <c r="K20" s="104"/>
      <c r="L20" s="92"/>
      <c r="M20" s="93">
        <f>IFERROR(HLOOKUP($E20,'Returns &amp; Asset Mix assumption'!$D$9:$F$16,2,0)*$K20,0)</f>
        <v>0</v>
      </c>
      <c r="N20" s="93">
        <f>IFERROR(HLOOKUP($E20,'Returns &amp; Asset Mix assumption'!$D$9:$F$16,3,0)*$K20,0)</f>
        <v>0</v>
      </c>
      <c r="O20" s="93">
        <f>IFERROR(HLOOKUP($E20,'Returns &amp; Asset Mix assumption'!$D$9:$F$16,4,0)*$K20,0)</f>
        <v>0</v>
      </c>
      <c r="P20" s="93">
        <f>IFERROR(HLOOKUP($E20,'Returns &amp; Asset Mix assumption'!$D$9:$F$16,5,0)*$K20,0)</f>
        <v>0</v>
      </c>
      <c r="Q20" s="93">
        <f>IFERROR(HLOOKUP($E20,'Returns &amp; Asset Mix assumption'!$D$9:$F$16,6,0)*$K20,0)</f>
        <v>0</v>
      </c>
      <c r="R20" s="93">
        <f>IFERROR(HLOOKUP($E20,'Returns &amp; Asset Mix assumption'!$D$9:$F$16,7,0)*$K20,0)</f>
        <v>0</v>
      </c>
    </row>
    <row r="21" spans="2:18" x14ac:dyDescent="0.3">
      <c r="B21" s="103"/>
      <c r="C21" s="103"/>
      <c r="D21" s="103"/>
      <c r="E21" s="90" t="str">
        <f t="shared" si="0"/>
        <v/>
      </c>
      <c r="F21" s="104"/>
      <c r="G21" s="104"/>
      <c r="H21" s="105"/>
      <c r="I21" s="91" t="str">
        <f>IFERROR(IF(F21=G21," ",F21*(1+H21)^D21-G21*(1+HLOOKUP(E21,'Returns &amp; Asset Mix assumption'!$D$9:$F$16,8,0))^D21),"")</f>
        <v xml:space="preserve"> </v>
      </c>
      <c r="J21" s="103"/>
      <c r="K21" s="104"/>
      <c r="L21" s="92"/>
      <c r="M21" s="93">
        <f>IFERROR(HLOOKUP($E21,'Returns &amp; Asset Mix assumption'!$D$9:$F$16,2,0)*$K21,0)</f>
        <v>0</v>
      </c>
      <c r="N21" s="93">
        <f>IFERROR(HLOOKUP($E21,'Returns &amp; Asset Mix assumption'!$D$9:$F$16,3,0)*$K21,0)</f>
        <v>0</v>
      </c>
      <c r="O21" s="93">
        <f>IFERROR(HLOOKUP($E21,'Returns &amp; Asset Mix assumption'!$D$9:$F$16,4,0)*$K21,0)</f>
        <v>0</v>
      </c>
      <c r="P21" s="93">
        <f>IFERROR(HLOOKUP($E21,'Returns &amp; Asset Mix assumption'!$D$9:$F$16,5,0)*$K21,0)</f>
        <v>0</v>
      </c>
      <c r="Q21" s="93">
        <f>IFERROR(HLOOKUP($E21,'Returns &amp; Asset Mix assumption'!$D$9:$F$16,6,0)*$K21,0)</f>
        <v>0</v>
      </c>
      <c r="R21" s="93">
        <f>IFERROR(HLOOKUP($E21,'Returns &amp; Asset Mix assumption'!$D$9:$F$16,7,0)*$K21,0)</f>
        <v>0</v>
      </c>
    </row>
    <row r="22" spans="2:18" x14ac:dyDescent="0.3">
      <c r="B22" s="103"/>
      <c r="C22" s="103"/>
      <c r="D22" s="103"/>
      <c r="E22" s="90" t="str">
        <f t="shared" si="0"/>
        <v/>
      </c>
      <c r="F22" s="104"/>
      <c r="G22" s="104"/>
      <c r="H22" s="105"/>
      <c r="I22" s="91" t="str">
        <f>IFERROR(IF(F22=G22," ",F22*(1+H22)^D22-G22*(1+HLOOKUP(E22,'Returns &amp; Asset Mix assumption'!$D$9:$F$16,8,0))^D22),"")</f>
        <v xml:space="preserve"> </v>
      </c>
      <c r="J22" s="103"/>
      <c r="K22" s="104"/>
      <c r="L22" s="92"/>
      <c r="M22" s="93">
        <f>IFERROR(HLOOKUP($E22,'Returns &amp; Asset Mix assumption'!$D$9:$F$16,2,0)*$K22,0)</f>
        <v>0</v>
      </c>
      <c r="N22" s="93">
        <f>IFERROR(HLOOKUP($E22,'Returns &amp; Asset Mix assumption'!$D$9:$F$16,3,0)*$K22,0)</f>
        <v>0</v>
      </c>
      <c r="O22" s="93">
        <f>IFERROR(HLOOKUP($E22,'Returns &amp; Asset Mix assumption'!$D$9:$F$16,4,0)*$K22,0)</f>
        <v>0</v>
      </c>
      <c r="P22" s="93">
        <f>IFERROR(HLOOKUP($E22,'Returns &amp; Asset Mix assumption'!$D$9:$F$16,5,0)*$K22,0)</f>
        <v>0</v>
      </c>
      <c r="Q22" s="93">
        <f>IFERROR(HLOOKUP($E22,'Returns &amp; Asset Mix assumption'!$D$9:$F$16,6,0)*$K22,0)</f>
        <v>0</v>
      </c>
      <c r="R22" s="93">
        <f>IFERROR(HLOOKUP($E22,'Returns &amp; Asset Mix assumption'!$D$9:$F$16,7,0)*$K22,0)</f>
        <v>0</v>
      </c>
    </row>
    <row r="23" spans="2:18" x14ac:dyDescent="0.3">
      <c r="B23" s="103"/>
      <c r="C23" s="103"/>
      <c r="D23" s="103"/>
      <c r="E23" s="90" t="str">
        <f t="shared" si="0"/>
        <v/>
      </c>
      <c r="F23" s="104"/>
      <c r="G23" s="104"/>
      <c r="H23" s="105"/>
      <c r="I23" s="91" t="str">
        <f>IFERROR(IF(F23=G23," ",F23*(1+H23)^D23-G23*(1+HLOOKUP(E23,'Returns &amp; Asset Mix assumption'!$D$9:$F$16,8,0))^D23),"")</f>
        <v xml:space="preserve"> </v>
      </c>
      <c r="J23" s="103"/>
      <c r="K23" s="104"/>
      <c r="L23" s="92"/>
      <c r="M23" s="93">
        <f>IFERROR(HLOOKUP($E23,'Returns &amp; Asset Mix assumption'!$D$9:$F$16,2,0)*$K23,0)</f>
        <v>0</v>
      </c>
      <c r="N23" s="93">
        <f>IFERROR(HLOOKUP($E23,'Returns &amp; Asset Mix assumption'!$D$9:$F$16,3,0)*$K23,0)</f>
        <v>0</v>
      </c>
      <c r="O23" s="93">
        <f>IFERROR(HLOOKUP($E23,'Returns &amp; Asset Mix assumption'!$D$9:$F$16,4,0)*$K23,0)</f>
        <v>0</v>
      </c>
      <c r="P23" s="93">
        <f>IFERROR(HLOOKUP($E23,'Returns &amp; Asset Mix assumption'!$D$9:$F$16,5,0)*$K23,0)</f>
        <v>0</v>
      </c>
      <c r="Q23" s="93">
        <f>IFERROR(HLOOKUP($E23,'Returns &amp; Asset Mix assumption'!$D$9:$F$16,6,0)*$K23,0)</f>
        <v>0</v>
      </c>
      <c r="R23" s="93">
        <f>IFERROR(HLOOKUP($E23,'Returns &amp; Asset Mix assumption'!$D$9:$F$16,7,0)*$K23,0)</f>
        <v>0</v>
      </c>
    </row>
    <row r="24" spans="2:18" s="85" customFormat="1" x14ac:dyDescent="0.3">
      <c r="F24" s="92"/>
      <c r="G24" s="92"/>
      <c r="H24" s="94"/>
      <c r="I24" s="92"/>
      <c r="K24" s="92"/>
      <c r="L24" s="92"/>
      <c r="M24" s="95"/>
    </row>
    <row r="25" spans="2:18" x14ac:dyDescent="0.3">
      <c r="F25" s="145" t="s">
        <v>26</v>
      </c>
      <c r="G25" s="96">
        <f>SUM(G9:G23)</f>
        <v>1530050</v>
      </c>
      <c r="I25" s="97"/>
      <c r="J25" s="146" t="s">
        <v>26</v>
      </c>
      <c r="K25" s="96">
        <f>SUM(K9:K23)</f>
        <v>30000</v>
      </c>
      <c r="L25" s="98"/>
      <c r="M25" s="96">
        <f>SUM(M9:M23)</f>
        <v>14600</v>
      </c>
      <c r="N25" s="96">
        <f t="shared" ref="N25:R25" si="1">SUM(N9:N23)</f>
        <v>2200</v>
      </c>
      <c r="O25" s="96">
        <f t="shared" si="1"/>
        <v>9550</v>
      </c>
      <c r="P25" s="96">
        <f t="shared" si="1"/>
        <v>1450</v>
      </c>
      <c r="Q25" s="96">
        <f t="shared" si="1"/>
        <v>1100</v>
      </c>
      <c r="R25" s="96">
        <f t="shared" si="1"/>
        <v>1100</v>
      </c>
    </row>
    <row r="26" spans="2:18" x14ac:dyDescent="0.3">
      <c r="F26" s="145" t="s">
        <v>82</v>
      </c>
      <c r="G26" s="100">
        <f>'Net worth'!C29+SUM('Net worth'!C14:C16)</f>
        <v>1680050</v>
      </c>
      <c r="H26" s="85"/>
      <c r="I26" s="101"/>
      <c r="J26" s="146" t="s">
        <v>82</v>
      </c>
      <c r="K26" s="91">
        <f>'Cash flows'!C24</f>
        <v>30000</v>
      </c>
      <c r="L26" s="98"/>
      <c r="M26" s="102">
        <f>M25/SUM($M$25:$R$25)</f>
        <v>0.48666666666666669</v>
      </c>
      <c r="N26" s="102">
        <f t="shared" ref="N26:R26" si="2">N25/SUM($M$25:$R$25)</f>
        <v>7.3333333333333334E-2</v>
      </c>
      <c r="O26" s="102">
        <f t="shared" si="2"/>
        <v>0.31833333333333336</v>
      </c>
      <c r="P26" s="102">
        <f t="shared" si="2"/>
        <v>4.8333333333333332E-2</v>
      </c>
      <c r="Q26" s="102">
        <f t="shared" si="2"/>
        <v>3.6666666666666667E-2</v>
      </c>
      <c r="R26" s="102">
        <f t="shared" si="2"/>
        <v>3.6666666666666667E-2</v>
      </c>
    </row>
    <row r="27" spans="2:18" x14ac:dyDescent="0.3">
      <c r="F27" s="145" t="s">
        <v>157</v>
      </c>
      <c r="G27" s="93">
        <f>G26-G25</f>
        <v>150000</v>
      </c>
      <c r="H27" s="85"/>
      <c r="I27" s="101"/>
      <c r="J27" s="146" t="s">
        <v>157</v>
      </c>
      <c r="K27" s="91">
        <f>K26-K25</f>
        <v>0</v>
      </c>
      <c r="L27" s="98"/>
    </row>
    <row r="28" spans="2:18" x14ac:dyDescent="0.3">
      <c r="G28" s="98" t="str">
        <f>IF(G25&gt;G26,"You don't have enough money","")</f>
        <v/>
      </c>
      <c r="K28" s="98" t="str">
        <f>IF(K25&gt;'Cash flows'!C24,"You don't have enough money","")</f>
        <v/>
      </c>
    </row>
  </sheetData>
  <sheetProtection algorithmName="SHA-512" hashValue="1RPMo5KUYUUO00M9OJ6RyqamXodM95kLucZOFjlezYXDgwWNs3BzAqjoSQ8fbqrTjj1vNDmVqPKkeQv215fKPg==" saltValue="l0h11KT68OFGzA4Di9E1jg==" spinCount="100000" sheet="1" objects="1" scenarios="1"/>
  <autoFilter ref="B8:K23" xr:uid="{ACB0ACAC-00D1-A141-A5F0-DB4F5570E3F2}">
    <sortState xmlns:xlrd2="http://schemas.microsoft.com/office/spreadsheetml/2017/richdata2" ref="B9:K23">
      <sortCondition ref="C8:C23"/>
    </sortState>
  </autoFilter>
  <sortState xmlns:xlrd2="http://schemas.microsoft.com/office/spreadsheetml/2017/richdata2" ref="B9:K18">
    <sortCondition ref="C9:C18"/>
  </sortState>
  <mergeCells count="2">
    <mergeCell ref="M6:R6"/>
    <mergeCell ref="D4:E5"/>
  </mergeCells>
  <conditionalFormatting sqref="G28">
    <cfRule type="notContainsBlanks" dxfId="2" priority="2">
      <formula>LEN(TRIM(G28))&gt;0</formula>
    </cfRule>
  </conditionalFormatting>
  <conditionalFormatting sqref="K28">
    <cfRule type="notContainsBlanks" dxfId="1" priority="1">
      <formula>LEN(TRIM(K28))&gt;0</formula>
    </cfRule>
  </conditionalFormatting>
  <pageMargins left="0.7" right="0.7" top="0.75" bottom="0.75" header="0.3" footer="0.3"/>
  <pageSetup paperSize="9" orientation="portrait" r:id="rId1"/>
  <ignoredErrors>
    <ignoredError sqref="M25:R25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3418-4D5F-534F-BEEA-279DC8CCCF2F}">
  <dimension ref="B4:E20"/>
  <sheetViews>
    <sheetView showGridLines="0" zoomScale="160" zoomScaleNormal="160" workbookViewId="0">
      <selection activeCell="C14" sqref="C14"/>
    </sheetView>
  </sheetViews>
  <sheetFormatPr defaultColWidth="11.19921875" defaultRowHeight="15.6" x14ac:dyDescent="0.3"/>
  <cols>
    <col min="1" max="1" width="6.296875" style="26" customWidth="1"/>
    <col min="2" max="2" width="20.796875" style="26" customWidth="1"/>
    <col min="3" max="3" width="13.296875" style="26" customWidth="1"/>
    <col min="4" max="16384" width="11.19921875" style="26"/>
  </cols>
  <sheetData>
    <row r="4" spans="2:5" ht="10.050000000000001" customHeight="1" x14ac:dyDescent="0.3">
      <c r="B4" s="154" t="s">
        <v>151</v>
      </c>
      <c r="C4" s="154"/>
    </row>
    <row r="5" spans="2:5" ht="10.050000000000001" customHeight="1" x14ac:dyDescent="0.3">
      <c r="B5" s="154"/>
      <c r="C5" s="154"/>
    </row>
    <row r="6" spans="2:5" ht="10.050000000000001" customHeight="1" x14ac:dyDescent="0.3">
      <c r="B6" s="25"/>
      <c r="C6" s="25"/>
    </row>
    <row r="7" spans="2:5" ht="18" x14ac:dyDescent="0.35">
      <c r="B7" s="8"/>
      <c r="C7" s="13" t="s">
        <v>137</v>
      </c>
      <c r="D7" s="40"/>
      <c r="E7" s="40"/>
    </row>
    <row r="8" spans="2:5" ht="18" x14ac:dyDescent="0.35">
      <c r="B8" s="9"/>
      <c r="C8" s="153" t="s">
        <v>138</v>
      </c>
      <c r="D8" s="153"/>
      <c r="E8" s="153"/>
    </row>
    <row r="10" spans="2:5" x14ac:dyDescent="0.3">
      <c r="B10" s="41" t="s">
        <v>10</v>
      </c>
      <c r="C10" s="42" t="s">
        <v>11</v>
      </c>
    </row>
    <row r="11" spans="2:5" x14ac:dyDescent="0.3">
      <c r="B11" s="107" t="s">
        <v>12</v>
      </c>
      <c r="C11" s="104">
        <v>0</v>
      </c>
    </row>
    <row r="12" spans="2:5" x14ac:dyDescent="0.3">
      <c r="B12" s="107" t="s">
        <v>14</v>
      </c>
      <c r="C12" s="104">
        <v>8000000</v>
      </c>
    </row>
    <row r="13" spans="2:5" x14ac:dyDescent="0.3">
      <c r="B13" s="107" t="s">
        <v>94</v>
      </c>
      <c r="C13" s="104">
        <v>0</v>
      </c>
      <c r="D13" s="108" t="s">
        <v>95</v>
      </c>
    </row>
    <row r="14" spans="2:5" x14ac:dyDescent="0.3">
      <c r="B14" s="107" t="s">
        <v>26</v>
      </c>
      <c r="C14" s="91">
        <f>C13+C12+C11</f>
        <v>8000000</v>
      </c>
    </row>
    <row r="15" spans="2:5" x14ac:dyDescent="0.3">
      <c r="C15" s="109"/>
    </row>
    <row r="16" spans="2:5" x14ac:dyDescent="0.3">
      <c r="C16" s="109"/>
    </row>
    <row r="17" spans="3:3" x14ac:dyDescent="0.3">
      <c r="C17" s="109"/>
    </row>
    <row r="18" spans="3:3" x14ac:dyDescent="0.3">
      <c r="C18" s="109"/>
    </row>
    <row r="19" spans="3:3" x14ac:dyDescent="0.3">
      <c r="C19" s="109"/>
    </row>
    <row r="20" spans="3:3" x14ac:dyDescent="0.3">
      <c r="C20" s="110"/>
    </row>
  </sheetData>
  <sheetProtection algorithmName="SHA-512" hashValue="J7vhPw8E58UD4Pek70RYUrRzxb5fxq5CDo0QYQ57VhrjIrg1FZjlxvzXhYu/023xLrAVBolX0KdFSQlHuelzUg==" saltValue="u7cui7X45djTcs6tG51Zvg==" spinCount="100000" sheet="1" objects="1" scenarios="1"/>
  <mergeCells count="2">
    <mergeCell ref="C8:E8"/>
    <mergeCell ref="B4:C5"/>
  </mergeCells>
  <hyperlinks>
    <hyperlink ref="D13" r:id="rId1" xr:uid="{040A1E3D-67AC-5748-B4D4-DCC5CFCFB3E2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D92B-572A-B343-936F-70EAF33B28E4}">
  <dimension ref="B1:Y35"/>
  <sheetViews>
    <sheetView showGridLines="0" topLeftCell="B14" zoomScale="156" zoomScaleNormal="130" workbookViewId="0">
      <selection activeCell="R26" sqref="R26:U26"/>
    </sheetView>
  </sheetViews>
  <sheetFormatPr defaultColWidth="11.19921875" defaultRowHeight="15.6" x14ac:dyDescent="0.3"/>
  <cols>
    <col min="1" max="1" width="5.296875" customWidth="1"/>
    <col min="2" max="2" width="30.5" style="111" customWidth="1"/>
    <col min="3" max="3" width="17" style="111" bestFit="1" customWidth="1"/>
    <col min="4" max="4" width="17.5" style="112" bestFit="1" customWidth="1"/>
    <col min="5" max="5" width="3.296875" customWidth="1"/>
    <col min="6" max="6" width="30.5" style="111" customWidth="1"/>
    <col min="7" max="8" width="14" style="113" customWidth="1"/>
    <col min="9" max="9" width="13.5" style="113" customWidth="1"/>
    <col min="10" max="10" width="17" style="113" bestFit="1" customWidth="1"/>
    <col min="11" max="11" width="19.69921875" style="112" customWidth="1"/>
    <col min="12" max="12" width="4.5" customWidth="1"/>
    <col min="13" max="13" width="33.19921875" style="2" bestFit="1" customWidth="1"/>
    <col min="14" max="14" width="17.796875" style="7" bestFit="1" customWidth="1"/>
    <col min="15" max="15" width="14.296875" style="7" bestFit="1" customWidth="1"/>
    <col min="16" max="16" width="10.796875" style="7"/>
    <col min="17" max="17" width="28.296875" style="111" bestFit="1" customWidth="1"/>
    <col min="18" max="21" width="10.796875" style="114"/>
    <col min="22" max="22" width="10.796875" style="112"/>
    <col min="23" max="23" width="13" customWidth="1"/>
  </cols>
  <sheetData>
    <row r="1" spans="2:23" s="115" customFormat="1" x14ac:dyDescent="0.3">
      <c r="D1" s="116"/>
      <c r="F1" s="26"/>
      <c r="G1" s="26"/>
      <c r="H1" s="117"/>
      <c r="I1" s="117"/>
      <c r="J1" s="117"/>
      <c r="K1" s="116"/>
      <c r="N1" s="118"/>
      <c r="O1" s="118"/>
      <c r="P1" s="118"/>
      <c r="R1" s="118"/>
      <c r="S1" s="118"/>
      <c r="T1" s="118"/>
      <c r="U1" s="118"/>
      <c r="V1" s="116"/>
    </row>
    <row r="2" spans="2:23" s="115" customFormat="1" x14ac:dyDescent="0.3">
      <c r="D2" s="116"/>
      <c r="F2" s="26"/>
      <c r="G2" s="26"/>
      <c r="H2" s="117"/>
      <c r="I2" s="117"/>
      <c r="J2" s="117"/>
      <c r="K2" s="116"/>
      <c r="N2" s="118"/>
      <c r="O2" s="118"/>
      <c r="P2" s="118"/>
      <c r="R2" s="118"/>
      <c r="S2" s="118"/>
      <c r="T2" s="118"/>
      <c r="U2" s="118"/>
      <c r="V2" s="116"/>
    </row>
    <row r="3" spans="2:23" s="115" customFormat="1" x14ac:dyDescent="0.3">
      <c r="D3" s="116"/>
      <c r="F3" s="26"/>
      <c r="G3" s="26"/>
      <c r="H3" s="117"/>
      <c r="I3" s="117"/>
      <c r="J3" s="117"/>
      <c r="K3" s="116"/>
      <c r="N3" s="118"/>
      <c r="O3" s="118"/>
      <c r="P3" s="118"/>
      <c r="R3" s="118"/>
      <c r="S3" s="118"/>
      <c r="T3" s="118"/>
      <c r="U3" s="118"/>
      <c r="V3" s="116"/>
    </row>
    <row r="4" spans="2:23" s="26" customFormat="1" x14ac:dyDescent="0.3">
      <c r="B4" s="85"/>
      <c r="C4" s="85"/>
      <c r="D4" s="92"/>
      <c r="E4" s="85"/>
      <c r="F4" s="115"/>
      <c r="G4" s="117"/>
      <c r="H4" s="119"/>
      <c r="I4" s="119"/>
      <c r="J4" s="119"/>
      <c r="K4" s="92"/>
      <c r="L4" s="85"/>
      <c r="M4" s="85"/>
      <c r="N4" s="120"/>
      <c r="O4" s="120"/>
      <c r="P4" s="120"/>
      <c r="Q4" s="85"/>
      <c r="R4" s="120"/>
      <c r="S4" s="120"/>
      <c r="T4" s="120"/>
      <c r="U4" s="120"/>
      <c r="V4" s="92"/>
      <c r="W4" s="85"/>
    </row>
    <row r="5" spans="2:23" s="26" customFormat="1" ht="18" x14ac:dyDescent="0.35">
      <c r="B5" s="8"/>
      <c r="C5" s="13" t="s">
        <v>137</v>
      </c>
      <c r="D5" s="40"/>
      <c r="E5" s="40"/>
      <c r="F5" s="115"/>
      <c r="G5" s="117"/>
      <c r="H5" s="119"/>
      <c r="I5" s="119"/>
      <c r="J5" s="119"/>
      <c r="K5" s="92"/>
      <c r="L5" s="85"/>
      <c r="M5" s="85"/>
      <c r="N5" s="120"/>
      <c r="O5" s="120"/>
      <c r="P5" s="120"/>
      <c r="Q5" s="85"/>
      <c r="R5" s="120"/>
      <c r="S5" s="120"/>
      <c r="T5" s="120"/>
      <c r="U5" s="120"/>
      <c r="V5" s="92"/>
      <c r="W5" s="85"/>
    </row>
    <row r="6" spans="2:23" s="26" customFormat="1" ht="24" customHeight="1" x14ac:dyDescent="0.35">
      <c r="B6" s="9"/>
      <c r="C6" s="156" t="s">
        <v>138</v>
      </c>
      <c r="D6" s="156"/>
      <c r="E6" s="156"/>
      <c r="F6" s="85"/>
      <c r="G6" s="148" t="s">
        <v>151</v>
      </c>
      <c r="H6" s="148"/>
      <c r="I6" s="148"/>
      <c r="J6" s="119"/>
      <c r="K6" s="92"/>
      <c r="L6" s="85"/>
      <c r="M6" s="85"/>
      <c r="N6" s="120"/>
      <c r="O6" s="120"/>
      <c r="P6" s="120"/>
      <c r="Q6" s="85"/>
      <c r="R6" s="120"/>
      <c r="S6" s="120"/>
      <c r="T6" s="120"/>
      <c r="U6" s="120"/>
      <c r="V6" s="92"/>
      <c r="W6" s="85"/>
    </row>
    <row r="7" spans="2:23" s="26" customFormat="1" x14ac:dyDescent="0.3">
      <c r="B7" s="85"/>
      <c r="C7" s="85"/>
      <c r="D7" s="92"/>
      <c r="E7" s="85"/>
      <c r="F7" s="85"/>
      <c r="G7" s="15"/>
      <c r="H7" s="15"/>
      <c r="I7" s="15"/>
      <c r="J7" s="119"/>
      <c r="K7" s="92"/>
      <c r="L7" s="85"/>
      <c r="M7" s="85"/>
      <c r="N7" s="120"/>
      <c r="O7" s="120"/>
      <c r="P7" s="120"/>
      <c r="Q7" s="85"/>
      <c r="R7" s="120"/>
      <c r="S7" s="120"/>
      <c r="T7" s="120"/>
      <c r="U7" s="120"/>
      <c r="V7" s="92"/>
      <c r="W7" s="85"/>
    </row>
    <row r="8" spans="2:23" s="26" customFormat="1" x14ac:dyDescent="0.3">
      <c r="B8" s="121"/>
      <c r="C8" s="121"/>
      <c r="D8" s="121"/>
    </row>
    <row r="9" spans="2:23" s="26" customFormat="1" x14ac:dyDescent="0.3">
      <c r="B9" s="121"/>
      <c r="C9" s="121"/>
      <c r="D9" s="121"/>
      <c r="Q9" s="85"/>
      <c r="R9" s="120"/>
      <c r="S9" s="120"/>
      <c r="T9" s="120"/>
      <c r="U9" s="120"/>
      <c r="V9" s="92"/>
    </row>
    <row r="10" spans="2:23" s="26" customFormat="1" x14ac:dyDescent="0.3">
      <c r="B10" s="121"/>
      <c r="C10" s="121"/>
      <c r="D10" s="121"/>
      <c r="R10" s="122"/>
      <c r="S10" s="123"/>
      <c r="T10" s="122"/>
      <c r="U10" s="122"/>
      <c r="V10" s="122"/>
    </row>
    <row r="11" spans="2:23" s="26" customFormat="1" x14ac:dyDescent="0.3">
      <c r="B11" s="121"/>
      <c r="C11" s="121"/>
      <c r="D11" s="121"/>
      <c r="Q11" s="124"/>
      <c r="R11" s="125"/>
      <c r="S11" s="120"/>
      <c r="T11" s="120"/>
      <c r="U11" s="120"/>
      <c r="V11" s="120"/>
    </row>
    <row r="12" spans="2:23" s="26" customFormat="1" x14ac:dyDescent="0.3">
      <c r="B12" s="121"/>
      <c r="C12" s="121"/>
      <c r="D12" s="121"/>
      <c r="Q12" s="124"/>
      <c r="R12" s="125"/>
      <c r="S12" s="120"/>
      <c r="T12" s="120"/>
      <c r="U12" s="120"/>
      <c r="V12" s="120"/>
    </row>
    <row r="13" spans="2:23" s="26" customFormat="1" x14ac:dyDescent="0.3">
      <c r="B13" s="121"/>
      <c r="C13" s="121"/>
      <c r="D13" s="121"/>
      <c r="Q13" s="124"/>
      <c r="R13" s="125"/>
      <c r="S13" s="120"/>
      <c r="T13" s="120"/>
      <c r="U13" s="120"/>
      <c r="V13" s="120"/>
    </row>
    <row r="14" spans="2:23" s="26" customFormat="1" x14ac:dyDescent="0.3">
      <c r="B14" s="121"/>
      <c r="C14" s="121"/>
      <c r="D14" s="121"/>
      <c r="Q14" s="124"/>
      <c r="R14" s="125"/>
      <c r="S14" s="120"/>
      <c r="T14" s="120"/>
      <c r="U14" s="120"/>
      <c r="V14" s="120"/>
    </row>
    <row r="15" spans="2:23" s="26" customFormat="1" x14ac:dyDescent="0.3">
      <c r="B15" s="121"/>
      <c r="C15" s="121"/>
      <c r="D15" s="121"/>
    </row>
    <row r="16" spans="2:23" s="26" customFormat="1" x14ac:dyDescent="0.3">
      <c r="B16" s="121"/>
      <c r="C16" s="121"/>
      <c r="D16" s="121"/>
    </row>
    <row r="17" spans="2:25" s="26" customFormat="1" x14ac:dyDescent="0.3">
      <c r="B17" s="121"/>
      <c r="C17" s="121"/>
      <c r="D17" s="121"/>
    </row>
    <row r="18" spans="2:25" s="26" customFormat="1" x14ac:dyDescent="0.3">
      <c r="B18" s="121"/>
      <c r="C18" s="121"/>
      <c r="D18" s="121"/>
    </row>
    <row r="19" spans="2:25" s="26" customFormat="1" x14ac:dyDescent="0.3">
      <c r="B19" s="121"/>
      <c r="C19" s="121"/>
      <c r="D19" s="121"/>
      <c r="R19" s="124"/>
      <c r="S19" s="124"/>
      <c r="T19" s="124"/>
      <c r="U19" s="124"/>
      <c r="V19" s="124"/>
    </row>
    <row r="20" spans="2:25" s="26" customFormat="1" x14ac:dyDescent="0.3">
      <c r="B20" s="126" t="s">
        <v>118</v>
      </c>
      <c r="C20" s="126" t="s">
        <v>119</v>
      </c>
      <c r="D20" s="127" t="s">
        <v>120</v>
      </c>
      <c r="F20" s="160" t="s">
        <v>161</v>
      </c>
      <c r="G20" s="160"/>
      <c r="H20" s="160"/>
      <c r="I20" s="160"/>
      <c r="J20" s="126" t="s">
        <v>119</v>
      </c>
      <c r="K20" s="127" t="s">
        <v>120</v>
      </c>
      <c r="M20" s="128" t="s">
        <v>118</v>
      </c>
      <c r="N20" s="126" t="s">
        <v>119</v>
      </c>
      <c r="O20" s="127" t="s">
        <v>120</v>
      </c>
      <c r="Q20" s="129" t="s">
        <v>122</v>
      </c>
      <c r="R20" s="130" t="s">
        <v>98</v>
      </c>
      <c r="S20" s="129" t="s">
        <v>99</v>
      </c>
      <c r="T20" s="129" t="s">
        <v>100</v>
      </c>
      <c r="U20" s="129" t="s">
        <v>144</v>
      </c>
      <c r="V20" s="128"/>
    </row>
    <row r="21" spans="2:25" s="26" customFormat="1" x14ac:dyDescent="0.3">
      <c r="B21" s="131" t="s">
        <v>98</v>
      </c>
      <c r="C21" s="91">
        <f>SUMIF($C$28:$C$1048576,"Largecap",$D$28:$D$1048576)</f>
        <v>15000</v>
      </c>
      <c r="D21" s="132">
        <f>IFERROR(C21/$C$24,0)</f>
        <v>0.15</v>
      </c>
      <c r="F21" s="159" t="s">
        <v>98</v>
      </c>
      <c r="G21" s="159"/>
      <c r="H21" s="159"/>
      <c r="I21" s="159"/>
      <c r="J21" s="91">
        <f>SUMPRODUCT($G$28:$G$1048576,$K$28:$K$1048576)</f>
        <v>131940</v>
      </c>
      <c r="K21" s="132">
        <f>IFERROR(J21/$J$25,0)</f>
        <v>0.48857618959451954</v>
      </c>
      <c r="M21" s="133" t="s">
        <v>98</v>
      </c>
      <c r="N21" s="93">
        <f>J21+C21</f>
        <v>146940</v>
      </c>
      <c r="O21" s="132">
        <f>N21/$N$25</f>
        <v>0.39708147547628697</v>
      </c>
      <c r="Q21" s="134" t="s">
        <v>112</v>
      </c>
      <c r="R21" s="135">
        <v>0.3</v>
      </c>
      <c r="S21" s="135">
        <v>0.45</v>
      </c>
      <c r="T21" s="135">
        <v>0.2</v>
      </c>
      <c r="U21" s="135">
        <v>0.05</v>
      </c>
      <c r="V21" s="120"/>
    </row>
    <row r="22" spans="2:25" s="26" customFormat="1" x14ac:dyDescent="0.3">
      <c r="B22" s="136" t="s">
        <v>99</v>
      </c>
      <c r="C22" s="91">
        <f>SUMIF($C$28:$C$1048576,"Midcap",$D$28:$D$1048576)</f>
        <v>30000</v>
      </c>
      <c r="D22" s="132">
        <f>IFERROR(C22/$C$24,0)</f>
        <v>0.3</v>
      </c>
      <c r="F22" s="157" t="s">
        <v>99</v>
      </c>
      <c r="G22" s="157"/>
      <c r="H22" s="157"/>
      <c r="I22" s="157"/>
      <c r="J22" s="91">
        <f>SUMPRODUCT($H$28:$H$1048576,$K$28:$K$1048576)</f>
        <v>42395</v>
      </c>
      <c r="K22" s="132">
        <f t="shared" ref="K22:K24" si="0">IFERROR(J22/$J$25,0)</f>
        <v>0.15698944639881504</v>
      </c>
      <c r="M22" s="137" t="s">
        <v>99</v>
      </c>
      <c r="N22" s="93">
        <f>J22+C22</f>
        <v>72395</v>
      </c>
      <c r="O22" s="132">
        <f>N22/$N$25</f>
        <v>0.19563572490204026</v>
      </c>
      <c r="Q22" s="134" t="s">
        <v>113</v>
      </c>
      <c r="R22" s="135">
        <v>0.4</v>
      </c>
      <c r="S22" s="135">
        <v>0.4</v>
      </c>
      <c r="T22" s="135">
        <v>0.15</v>
      </c>
      <c r="U22" s="135">
        <v>0.05</v>
      </c>
      <c r="V22" s="120"/>
    </row>
    <row r="23" spans="2:25" s="26" customFormat="1" x14ac:dyDescent="0.3">
      <c r="B23" s="136" t="s">
        <v>100</v>
      </c>
      <c r="C23" s="91">
        <f>SUMIF($C$28:$C$1048576,"Smallcap",$D$28:$D$1048576)</f>
        <v>55000</v>
      </c>
      <c r="D23" s="132">
        <f>IFERROR(C23/$C$24,0)</f>
        <v>0.55000000000000004</v>
      </c>
      <c r="F23" s="157" t="s">
        <v>100</v>
      </c>
      <c r="G23" s="157"/>
      <c r="H23" s="157"/>
      <c r="I23" s="157"/>
      <c r="J23" s="91">
        <f>SUMPRODUCT($I$28:$I$1048576,$K$28:$K$1048576)</f>
        <v>71510</v>
      </c>
      <c r="K23" s="132">
        <f t="shared" si="0"/>
        <v>0.26480281429364932</v>
      </c>
      <c r="M23" s="137" t="s">
        <v>100</v>
      </c>
      <c r="N23" s="93">
        <f>J23+C23</f>
        <v>126510</v>
      </c>
      <c r="O23" s="132">
        <f>N23/$N$25</f>
        <v>0.34187271990271584</v>
      </c>
      <c r="Q23" s="134" t="s">
        <v>114</v>
      </c>
      <c r="R23" s="135">
        <v>0.5</v>
      </c>
      <c r="S23" s="135">
        <v>0.35</v>
      </c>
      <c r="T23" s="135">
        <v>0.1</v>
      </c>
      <c r="U23" s="135">
        <v>0.05</v>
      </c>
      <c r="V23" s="120"/>
    </row>
    <row r="24" spans="2:25" s="26" customFormat="1" x14ac:dyDescent="0.3">
      <c r="B24" s="138" t="s">
        <v>26</v>
      </c>
      <c r="C24" s="139">
        <f>SUM(C21:C23)</f>
        <v>100000</v>
      </c>
      <c r="D24" s="140">
        <f>SUM(D21:D23)</f>
        <v>1</v>
      </c>
      <c r="F24" s="157" t="s">
        <v>144</v>
      </c>
      <c r="G24" s="157"/>
      <c r="H24" s="157"/>
      <c r="I24" s="157"/>
      <c r="J24" s="91">
        <f>SUMPRODUCT($J$28:$J$1048576,$K$28:$K$1048576)</f>
        <v>24205</v>
      </c>
      <c r="K24" s="132">
        <f t="shared" si="0"/>
        <v>8.9631549713016109E-2</v>
      </c>
      <c r="M24" s="137" t="s">
        <v>144</v>
      </c>
      <c r="N24" s="93">
        <f>J24</f>
        <v>24205</v>
      </c>
      <c r="O24" s="132">
        <f>N24/N25</f>
        <v>6.5410079718956904E-2</v>
      </c>
      <c r="Q24" s="134" t="s">
        <v>115</v>
      </c>
      <c r="R24" s="135">
        <v>0.6</v>
      </c>
      <c r="S24" s="135">
        <v>0.35</v>
      </c>
      <c r="T24" s="135">
        <v>0</v>
      </c>
      <c r="U24" s="135">
        <v>0.05</v>
      </c>
    </row>
    <row r="25" spans="2:25" s="26" customFormat="1" x14ac:dyDescent="0.3">
      <c r="F25" s="158" t="s">
        <v>26</v>
      </c>
      <c r="G25" s="158"/>
      <c r="H25" s="158"/>
      <c r="I25" s="158"/>
      <c r="J25" s="139">
        <f>SUM(J21:J24)</f>
        <v>270050</v>
      </c>
      <c r="K25" s="140">
        <f>SUM(K21:K24)</f>
        <v>1</v>
      </c>
      <c r="M25" s="141" t="s">
        <v>26</v>
      </c>
      <c r="N25" s="96">
        <f>SUM(N21:N24)</f>
        <v>370050</v>
      </c>
      <c r="O25" s="140">
        <f>N25/$N$25</f>
        <v>1</v>
      </c>
    </row>
    <row r="26" spans="2:25" s="26" customFormat="1" x14ac:dyDescent="0.3">
      <c r="P26" s="120"/>
      <c r="Q26" s="142" t="s">
        <v>121</v>
      </c>
      <c r="R26" s="143">
        <f>SUMPRODUCT(R28:R1048576,$V$28:$V$1048576)/SUM($V$28:$V$1048576)</f>
        <v>0.29867123287671238</v>
      </c>
      <c r="S26" s="143">
        <f>SUMPRODUCT(S28:S1048576,$V$28:$V$1048576)/SUM($V$28:$V$1048576)</f>
        <v>0.4352671232876712</v>
      </c>
      <c r="T26" s="143">
        <f>SUMPRODUCT(T28:T1048576,$V$28:$V$1048576)/SUM($V$28:$V$1048576)</f>
        <v>0.19470547945205477</v>
      </c>
      <c r="U26" s="143">
        <f>SUMPRODUCT(U28:U1048576,$V$28:$V$1048576)/SUM($V$28:$V$1048576)</f>
        <v>7.0869863013698631E-2</v>
      </c>
      <c r="V26" s="96">
        <f>SUM(V28:V1048576)</f>
        <v>14600</v>
      </c>
      <c r="W26" s="99" t="s">
        <v>82</v>
      </c>
    </row>
    <row r="27" spans="2:25" x14ac:dyDescent="0.3">
      <c r="B27" s="4" t="s">
        <v>96</v>
      </c>
      <c r="C27" s="4" t="s">
        <v>97</v>
      </c>
      <c r="D27" s="1" t="s">
        <v>116</v>
      </c>
      <c r="F27" s="4" t="s">
        <v>111</v>
      </c>
      <c r="G27" s="1" t="s">
        <v>98</v>
      </c>
      <c r="H27" s="1" t="s">
        <v>99</v>
      </c>
      <c r="I27" s="1" t="s">
        <v>100</v>
      </c>
      <c r="J27" s="12" t="s">
        <v>144</v>
      </c>
      <c r="K27" s="1" t="s">
        <v>116</v>
      </c>
      <c r="Q27" s="6" t="s">
        <v>123</v>
      </c>
      <c r="R27" s="1" t="s">
        <v>98</v>
      </c>
      <c r="S27" s="1" t="s">
        <v>99</v>
      </c>
      <c r="T27" s="1" t="s">
        <v>100</v>
      </c>
      <c r="U27" s="1" t="s">
        <v>144</v>
      </c>
      <c r="V27" s="1" t="s">
        <v>117</v>
      </c>
      <c r="W27" s="147">
        <f>'Financial Goals'!M25</f>
        <v>14600</v>
      </c>
    </row>
    <row r="28" spans="2:25" x14ac:dyDescent="0.3">
      <c r="B28" s="111" t="s">
        <v>101</v>
      </c>
      <c r="C28" s="111" t="s">
        <v>98</v>
      </c>
      <c r="D28" s="112">
        <v>5000</v>
      </c>
      <c r="F28" s="111" t="s">
        <v>105</v>
      </c>
      <c r="G28" s="113">
        <v>0.18099999999999999</v>
      </c>
      <c r="H28" s="113">
        <v>0.64800000000000002</v>
      </c>
      <c r="I28" s="113">
        <v>1.9E-2</v>
      </c>
      <c r="J28" s="113">
        <v>0.152</v>
      </c>
      <c r="K28" s="112">
        <v>10000</v>
      </c>
      <c r="Q28" s="111" t="s">
        <v>153</v>
      </c>
      <c r="R28" s="113">
        <v>0.998</v>
      </c>
      <c r="S28" s="113">
        <v>0</v>
      </c>
      <c r="T28" s="113">
        <v>0</v>
      </c>
      <c r="U28" s="113">
        <v>2E-3</v>
      </c>
      <c r="V28" s="112">
        <v>1600</v>
      </c>
      <c r="W28" s="155" t="str">
        <f>IF(V26&gt;W27,"You don't have enough money","")</f>
        <v/>
      </c>
      <c r="X28" s="155"/>
      <c r="Y28" s="155"/>
    </row>
    <row r="29" spans="2:25" x14ac:dyDescent="0.3">
      <c r="B29" s="111" t="s">
        <v>102</v>
      </c>
      <c r="C29" s="111" t="s">
        <v>98</v>
      </c>
      <c r="D29" s="112">
        <v>5000</v>
      </c>
      <c r="F29" s="111" t="s">
        <v>104</v>
      </c>
      <c r="G29" s="113">
        <v>1.4999999999999999E-2</v>
      </c>
      <c r="H29" s="113">
        <v>0.121</v>
      </c>
      <c r="I29" s="113">
        <v>0.65400000000000003</v>
      </c>
      <c r="J29" s="113">
        <v>0.21</v>
      </c>
      <c r="K29" s="112">
        <v>100000</v>
      </c>
      <c r="Q29" s="111" t="s">
        <v>142</v>
      </c>
      <c r="R29" s="113">
        <v>4.9000000000000002E-2</v>
      </c>
      <c r="S29" s="113">
        <v>0.68</v>
      </c>
      <c r="T29" s="113">
        <v>0.191</v>
      </c>
      <c r="U29" s="113">
        <v>0.08</v>
      </c>
      <c r="V29" s="112">
        <v>8300</v>
      </c>
    </row>
    <row r="30" spans="2:25" x14ac:dyDescent="0.3">
      <c r="B30" s="111" t="s">
        <v>103</v>
      </c>
      <c r="C30" s="111" t="s">
        <v>98</v>
      </c>
      <c r="D30" s="112">
        <v>5000</v>
      </c>
      <c r="F30" s="111" t="s">
        <v>142</v>
      </c>
      <c r="G30" s="113">
        <v>4.9000000000000002E-2</v>
      </c>
      <c r="H30" s="113">
        <v>0.68</v>
      </c>
      <c r="I30" s="113">
        <v>0.191</v>
      </c>
      <c r="J30" s="113">
        <v>0.08</v>
      </c>
      <c r="K30" s="112">
        <v>15000</v>
      </c>
      <c r="Q30" s="111" t="s">
        <v>145</v>
      </c>
      <c r="R30" s="113">
        <v>1.4999999999999999E-2</v>
      </c>
      <c r="S30" s="113">
        <v>0.121</v>
      </c>
      <c r="T30" s="113">
        <v>0.65400000000000003</v>
      </c>
      <c r="U30" s="113">
        <v>0.20499999999999999</v>
      </c>
      <c r="V30" s="112">
        <v>1700</v>
      </c>
    </row>
    <row r="31" spans="2:25" x14ac:dyDescent="0.3">
      <c r="B31" s="111" t="s">
        <v>109</v>
      </c>
      <c r="C31" s="111" t="s">
        <v>99</v>
      </c>
      <c r="D31" s="112">
        <v>30000</v>
      </c>
      <c r="F31" s="111" t="s">
        <v>106</v>
      </c>
      <c r="G31" s="113">
        <v>0.745</v>
      </c>
      <c r="H31" s="113">
        <v>0.153</v>
      </c>
      <c r="I31" s="113">
        <v>9.0999999999999998E-2</v>
      </c>
      <c r="J31" s="113">
        <v>1.0999999999999999E-2</v>
      </c>
      <c r="K31" s="112">
        <v>20000</v>
      </c>
      <c r="Q31" s="111" t="s">
        <v>106</v>
      </c>
      <c r="R31" s="113">
        <v>0.745</v>
      </c>
      <c r="S31" s="113">
        <v>0.153</v>
      </c>
      <c r="T31" s="113">
        <v>9.0999999999999998E-2</v>
      </c>
      <c r="U31" s="113">
        <v>1.0999999999999999E-2</v>
      </c>
      <c r="V31" s="112">
        <v>1600</v>
      </c>
    </row>
    <row r="32" spans="2:25" x14ac:dyDescent="0.3">
      <c r="B32" s="111" t="s">
        <v>110</v>
      </c>
      <c r="C32" s="111" t="s">
        <v>100</v>
      </c>
      <c r="D32" s="112">
        <v>55000</v>
      </c>
      <c r="F32" s="111" t="s">
        <v>107</v>
      </c>
      <c r="G32" s="113">
        <v>0.48699999999999999</v>
      </c>
      <c r="H32" s="113">
        <v>0.251</v>
      </c>
      <c r="I32" s="113">
        <v>0.247</v>
      </c>
      <c r="J32" s="113">
        <v>1.4999999999999999E-2</v>
      </c>
      <c r="K32" s="112">
        <v>5000</v>
      </c>
      <c r="Q32" s="111" t="s">
        <v>154</v>
      </c>
      <c r="R32" s="114">
        <v>0.81399999999999995</v>
      </c>
      <c r="S32" s="114">
        <v>0.186</v>
      </c>
      <c r="T32" s="114">
        <v>0</v>
      </c>
      <c r="U32" s="114">
        <v>1E-3</v>
      </c>
      <c r="V32" s="112">
        <v>1400</v>
      </c>
    </row>
    <row r="33" spans="6:13" x14ac:dyDescent="0.3">
      <c r="F33" s="111" t="s">
        <v>108</v>
      </c>
      <c r="G33" s="113">
        <v>0.998</v>
      </c>
      <c r="H33" s="113">
        <v>0</v>
      </c>
      <c r="I33" s="113">
        <v>0</v>
      </c>
      <c r="J33" s="113">
        <v>2E-3</v>
      </c>
      <c r="K33" s="112">
        <v>50000</v>
      </c>
      <c r="M33" s="2" t="s">
        <v>140</v>
      </c>
    </row>
    <row r="34" spans="6:13" x14ac:dyDescent="0.3">
      <c r="F34" s="111" t="s">
        <v>153</v>
      </c>
      <c r="G34" s="113">
        <v>0.998</v>
      </c>
      <c r="H34" s="113">
        <v>0</v>
      </c>
      <c r="I34" s="113">
        <v>0</v>
      </c>
      <c r="J34" s="113">
        <v>2E-3</v>
      </c>
      <c r="K34" s="112">
        <v>20000</v>
      </c>
    </row>
    <row r="35" spans="6:13" x14ac:dyDescent="0.3">
      <c r="F35" s="111" t="s">
        <v>154</v>
      </c>
      <c r="G35" s="113">
        <v>0.81399999999999995</v>
      </c>
      <c r="H35" s="113">
        <v>0.186</v>
      </c>
      <c r="I35" s="113">
        <v>0</v>
      </c>
      <c r="J35" s="113">
        <v>1E-3</v>
      </c>
      <c r="K35" s="112">
        <v>50000</v>
      </c>
    </row>
  </sheetData>
  <sheetProtection algorithmName="SHA-512" hashValue="36gunN8BPjkvuYkwrorKZ8OgF7lVocfQNYoDikfzq/NeElEYSN+deAfUspLNYnnBg/YqTpvluQ/bvP02rcGc6A==" saltValue="oxjUpt/rU8PTL1Rc9PA4PQ==" spinCount="100000" sheet="1" objects="1" scenarios="1"/>
  <mergeCells count="9">
    <mergeCell ref="W28:Y28"/>
    <mergeCell ref="G6:I6"/>
    <mergeCell ref="C6:E6"/>
    <mergeCell ref="F22:I22"/>
    <mergeCell ref="F23:I23"/>
    <mergeCell ref="F25:I25"/>
    <mergeCell ref="F21:I21"/>
    <mergeCell ref="F20:I20"/>
    <mergeCell ref="F24:I24"/>
  </mergeCells>
  <conditionalFormatting sqref="W28">
    <cfRule type="notContainsBlanks" dxfId="0" priority="2">
      <formula>LEN(TRIM(W28))&gt;0</formula>
    </cfRule>
  </conditionalFormatting>
  <conditionalFormatting sqref="W28:Y28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C28:C1048576" xr:uid="{D8B96823-79D3-744F-8184-464C3A252F30}">
      <formula1>"Largecap, Midcap, Smallcap"</formula1>
    </dataValidation>
  </dataValidations>
  <pageMargins left="0.7" right="0.7" top="0.75" bottom="0.75" header="0.3" footer="0.3"/>
  <ignoredErrors>
    <ignoredError sqref="O24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0257-66CC-3946-BB5F-B10CCBE76A5C}">
  <dimension ref="B2:E21"/>
  <sheetViews>
    <sheetView showGridLines="0" zoomScale="160" zoomScaleNormal="160" workbookViewId="0">
      <selection activeCell="C12" sqref="C12"/>
    </sheetView>
  </sheetViews>
  <sheetFormatPr defaultColWidth="11.19921875" defaultRowHeight="15.6" x14ac:dyDescent="0.3"/>
  <cols>
    <col min="1" max="1" width="6.296875" style="26" customWidth="1"/>
    <col min="2" max="2" width="20.796875" style="26" customWidth="1"/>
    <col min="3" max="3" width="13.296875" style="26" customWidth="1"/>
    <col min="4" max="16384" width="11.19921875" style="26"/>
  </cols>
  <sheetData>
    <row r="2" spans="2:5" x14ac:dyDescent="0.3">
      <c r="C2" s="117"/>
      <c r="D2" s="117"/>
    </row>
    <row r="3" spans="2:5" x14ac:dyDescent="0.3">
      <c r="C3" s="117"/>
      <c r="D3" s="117"/>
    </row>
    <row r="4" spans="2:5" x14ac:dyDescent="0.3">
      <c r="C4" s="117"/>
      <c r="D4" s="117"/>
    </row>
    <row r="5" spans="2:5" ht="10.050000000000001" customHeight="1" x14ac:dyDescent="0.3">
      <c r="B5" s="154" t="s">
        <v>151</v>
      </c>
      <c r="C5" s="154"/>
      <c r="D5" s="15"/>
    </row>
    <row r="6" spans="2:5" ht="10.050000000000001" customHeight="1" x14ac:dyDescent="0.3">
      <c r="B6" s="154"/>
      <c r="C6" s="154"/>
      <c r="D6" s="15"/>
    </row>
    <row r="7" spans="2:5" x14ac:dyDescent="0.3">
      <c r="B7" s="15"/>
      <c r="C7" s="15"/>
      <c r="D7" s="15"/>
    </row>
    <row r="8" spans="2:5" ht="18" x14ac:dyDescent="0.35">
      <c r="B8" s="8"/>
      <c r="C8" s="13" t="s">
        <v>137</v>
      </c>
      <c r="E8" s="40"/>
    </row>
    <row r="9" spans="2:5" ht="18" x14ac:dyDescent="0.35">
      <c r="B9" s="9"/>
      <c r="C9" s="153" t="s">
        <v>138</v>
      </c>
      <c r="D9" s="153"/>
      <c r="E9" s="153"/>
    </row>
    <row r="11" spans="2:5" x14ac:dyDescent="0.3">
      <c r="B11" s="41" t="s">
        <v>10</v>
      </c>
      <c r="C11" s="42" t="s">
        <v>11</v>
      </c>
    </row>
    <row r="12" spans="2:5" x14ac:dyDescent="0.3">
      <c r="B12" s="107" t="s">
        <v>141</v>
      </c>
      <c r="C12" s="104">
        <v>150000</v>
      </c>
    </row>
    <row r="13" spans="2:5" x14ac:dyDescent="0.3">
      <c r="B13" s="107" t="s">
        <v>149</v>
      </c>
      <c r="C13" s="104">
        <v>0</v>
      </c>
    </row>
    <row r="14" spans="2:5" x14ac:dyDescent="0.3">
      <c r="B14" s="107" t="s">
        <v>150</v>
      </c>
      <c r="C14" s="104">
        <v>0</v>
      </c>
    </row>
    <row r="15" spans="2:5" x14ac:dyDescent="0.3">
      <c r="B15" s="107" t="s">
        <v>26</v>
      </c>
      <c r="C15" s="91">
        <f>SUM(C12:C14)</f>
        <v>150000</v>
      </c>
      <c r="D15" s="108"/>
    </row>
    <row r="16" spans="2:5" x14ac:dyDescent="0.3">
      <c r="C16" s="109"/>
    </row>
    <row r="17" spans="3:3" x14ac:dyDescent="0.3">
      <c r="C17" s="109"/>
    </row>
    <row r="18" spans="3:3" x14ac:dyDescent="0.3">
      <c r="C18" s="109"/>
    </row>
    <row r="19" spans="3:3" x14ac:dyDescent="0.3">
      <c r="C19" s="109"/>
    </row>
    <row r="20" spans="3:3" x14ac:dyDescent="0.3">
      <c r="C20" s="109"/>
    </row>
    <row r="21" spans="3:3" x14ac:dyDescent="0.3">
      <c r="C21" s="110"/>
    </row>
  </sheetData>
  <sheetProtection algorithmName="SHA-512" hashValue="5vqSvH03MISpAHYVjbz+xJa+cl6qzQFce65N3Lc342dz38NtTpaKH+sy3+Tt1oauR/wuOCF83KEz5qZ5gN16CA==" saltValue="2U4oqxTbcwu7XXdVIwc5UQ==" spinCount="100000" sheet="1" objects="1" scenarios="1"/>
  <mergeCells count="2">
    <mergeCell ref="C9:E9"/>
    <mergeCell ref="B5:C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AABE-54C4-7F44-B68D-0ED9D5E6E4AA}">
  <dimension ref="B1:L16"/>
  <sheetViews>
    <sheetView showGridLines="0" topLeftCell="A2" zoomScale="140" zoomScaleNormal="140" workbookViewId="0">
      <selection activeCell="H13" sqref="H13"/>
    </sheetView>
  </sheetViews>
  <sheetFormatPr defaultColWidth="11.19921875" defaultRowHeight="15.6" x14ac:dyDescent="0.3"/>
  <cols>
    <col min="1" max="1" width="7.796875" customWidth="1"/>
    <col min="2" max="2" width="21.796875" style="111" customWidth="1"/>
    <col min="3" max="3" width="19" style="112" customWidth="1"/>
    <col min="4" max="4" width="4.796875" customWidth="1"/>
    <col min="5" max="5" width="24.19921875" style="111" bestFit="1" customWidth="1"/>
    <col min="6" max="6" width="17" style="112" customWidth="1"/>
    <col min="7" max="7" width="4.296875" customWidth="1"/>
    <col min="8" max="8" width="25.796875" style="111" bestFit="1" customWidth="1"/>
    <col min="9" max="9" width="19.296875" style="112" customWidth="1"/>
    <col min="10" max="10" width="3.796875" customWidth="1"/>
    <col min="11" max="11" width="25.796875" style="111" bestFit="1" customWidth="1"/>
    <col min="12" max="12" width="18.5" style="112" customWidth="1"/>
  </cols>
  <sheetData>
    <row r="1" spans="2:12" s="22" customFormat="1" x14ac:dyDescent="0.3">
      <c r="C1" s="23"/>
      <c r="F1" s="23"/>
      <c r="H1"/>
      <c r="I1"/>
      <c r="L1" s="23"/>
    </row>
    <row r="2" spans="2:12" s="22" customFormat="1" x14ac:dyDescent="0.3">
      <c r="C2" s="23"/>
      <c r="F2" s="23"/>
      <c r="H2"/>
      <c r="I2" s="24"/>
      <c r="L2" s="23"/>
    </row>
    <row r="3" spans="2:12" s="22" customFormat="1" x14ac:dyDescent="0.3">
      <c r="C3" s="23"/>
      <c r="F3" s="23"/>
      <c r="H3"/>
      <c r="I3" s="24"/>
      <c r="L3" s="23"/>
    </row>
    <row r="4" spans="2:12" ht="18" x14ac:dyDescent="0.35">
      <c r="B4" s="8"/>
      <c r="C4" s="10" t="s">
        <v>137</v>
      </c>
      <c r="D4" s="11"/>
      <c r="E4" s="11"/>
      <c r="F4"/>
      <c r="H4"/>
      <c r="I4" s="24"/>
      <c r="K4"/>
      <c r="L4"/>
    </row>
    <row r="5" spans="2:12" ht="18" x14ac:dyDescent="0.35">
      <c r="B5" s="9"/>
      <c r="C5" s="153" t="s">
        <v>138</v>
      </c>
      <c r="D5" s="153"/>
      <c r="E5" s="153"/>
      <c r="F5"/>
      <c r="H5" s="148" t="s">
        <v>151</v>
      </c>
      <c r="I5" s="148"/>
      <c r="K5"/>
      <c r="L5"/>
    </row>
    <row r="6" spans="2:12" x14ac:dyDescent="0.3">
      <c r="B6" s="22"/>
      <c r="C6" s="23"/>
      <c r="D6" s="22"/>
      <c r="E6" s="22"/>
      <c r="F6"/>
      <c r="H6" s="148"/>
      <c r="I6" s="148"/>
      <c r="K6"/>
      <c r="L6"/>
    </row>
    <row r="7" spans="2:12" ht="6" customHeight="1" x14ac:dyDescent="0.3">
      <c r="B7"/>
      <c r="C7"/>
      <c r="E7"/>
      <c r="F7"/>
      <c r="H7"/>
      <c r="I7"/>
      <c r="K7"/>
      <c r="L7"/>
    </row>
    <row r="8" spans="2:12" s="26" customFormat="1" x14ac:dyDescent="0.3">
      <c r="B8" s="142" t="s">
        <v>47</v>
      </c>
      <c r="C8" s="93">
        <f>SUM(C11:C1048576)</f>
        <v>180000</v>
      </c>
      <c r="E8" s="142" t="s">
        <v>125</v>
      </c>
      <c r="F8" s="93">
        <f>SUM(F11:F1048576)</f>
        <v>500000</v>
      </c>
      <c r="H8" s="142" t="s">
        <v>41</v>
      </c>
      <c r="I8" s="93">
        <f>SUM(I11:I1048576)</f>
        <v>220000</v>
      </c>
      <c r="K8" s="142" t="s">
        <v>131</v>
      </c>
      <c r="L8" s="93">
        <f>SUM(L11:L1048576)</f>
        <v>250000</v>
      </c>
    </row>
    <row r="9" spans="2:12" x14ac:dyDescent="0.3">
      <c r="B9" s="2"/>
      <c r="C9" s="3"/>
      <c r="E9" s="5"/>
      <c r="F9"/>
      <c r="H9" s="5"/>
      <c r="I9"/>
      <c r="K9" s="5"/>
      <c r="L9"/>
    </row>
    <row r="10" spans="2:12" x14ac:dyDescent="0.3">
      <c r="B10" s="4" t="s">
        <v>10</v>
      </c>
      <c r="C10" s="1" t="s">
        <v>116</v>
      </c>
      <c r="E10" s="4" t="s">
        <v>126</v>
      </c>
      <c r="F10" s="1" t="s">
        <v>116</v>
      </c>
      <c r="H10" s="4" t="s">
        <v>129</v>
      </c>
      <c r="I10" s="1" t="s">
        <v>116</v>
      </c>
      <c r="K10" s="4" t="s">
        <v>129</v>
      </c>
      <c r="L10" s="1" t="s">
        <v>116</v>
      </c>
    </row>
    <row r="11" spans="2:12" x14ac:dyDescent="0.3">
      <c r="B11" s="111" t="s">
        <v>144</v>
      </c>
      <c r="C11" s="112">
        <v>20000</v>
      </c>
      <c r="E11" s="111" t="s">
        <v>127</v>
      </c>
      <c r="F11" s="112">
        <v>300000</v>
      </c>
      <c r="H11" s="111" t="s">
        <v>130</v>
      </c>
      <c r="I11" s="112">
        <v>100000</v>
      </c>
      <c r="K11" s="111" t="s">
        <v>132</v>
      </c>
      <c r="L11" s="112">
        <v>250000</v>
      </c>
    </row>
    <row r="12" spans="2:12" x14ac:dyDescent="0.3">
      <c r="B12" s="111" t="s">
        <v>146</v>
      </c>
      <c r="C12" s="112">
        <v>50000</v>
      </c>
      <c r="E12" s="111" t="s">
        <v>128</v>
      </c>
      <c r="F12" s="112">
        <v>200000</v>
      </c>
      <c r="H12" s="111" t="s">
        <v>156</v>
      </c>
      <c r="I12" s="112">
        <v>120000</v>
      </c>
      <c r="K12" s="111" t="s">
        <v>133</v>
      </c>
      <c r="L12" s="112">
        <v>0</v>
      </c>
    </row>
    <row r="13" spans="2:12" x14ac:dyDescent="0.3">
      <c r="B13" s="111" t="s">
        <v>147</v>
      </c>
      <c r="C13" s="112">
        <v>30000</v>
      </c>
      <c r="K13" s="111" t="s">
        <v>134</v>
      </c>
      <c r="L13" s="112">
        <v>0</v>
      </c>
    </row>
    <row r="14" spans="2:12" x14ac:dyDescent="0.3">
      <c r="B14" s="111" t="s">
        <v>148</v>
      </c>
      <c r="C14" s="112">
        <v>20000</v>
      </c>
      <c r="K14" s="111" t="s">
        <v>135</v>
      </c>
      <c r="L14" s="112">
        <v>0</v>
      </c>
    </row>
    <row r="15" spans="2:12" x14ac:dyDescent="0.3">
      <c r="B15" s="111" t="s">
        <v>155</v>
      </c>
      <c r="C15" s="112">
        <v>60000</v>
      </c>
      <c r="K15" s="111" t="s">
        <v>136</v>
      </c>
      <c r="L15" s="112">
        <v>0</v>
      </c>
    </row>
    <row r="16" spans="2:12" x14ac:dyDescent="0.3">
      <c r="K16" s="111" t="s">
        <v>139</v>
      </c>
    </row>
  </sheetData>
  <sheetProtection algorithmName="SHA-512" hashValue="IH9MP6B+gzrVZTI6deM/JfpOgJo+0DCSHaVpqGze+WqVT5RUyGvKC+x70kNU/7S7vnojrRwrxAfiKPa0CJZzYw==" saltValue="H90ntmJYUr5VMrK7iZ4sww==" spinCount="100000" sheet="1" objects="1" scenarios="1"/>
  <mergeCells count="2">
    <mergeCell ref="C5:E5"/>
    <mergeCell ref="H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Returns &amp; Asset Mix assumption</vt:lpstr>
      <vt:lpstr>FIRE number</vt:lpstr>
      <vt:lpstr>Cash flows</vt:lpstr>
      <vt:lpstr>Net worth</vt:lpstr>
      <vt:lpstr>Financial Goals</vt:lpstr>
      <vt:lpstr>Real estate &amp; REIT</vt:lpstr>
      <vt:lpstr>Domestic Equity</vt:lpstr>
      <vt:lpstr>US equity</vt:lpstr>
      <vt:lpstr>Debt</vt:lpstr>
      <vt:lpstr>Gold</vt:lpstr>
      <vt:lpstr>Crypto</vt:lpstr>
      <vt:lpstr>Miscellaneous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Hegde</dc:creator>
  <cp:lastModifiedBy>vivek</cp:lastModifiedBy>
  <dcterms:created xsi:type="dcterms:W3CDTF">2022-05-04T10:49:09Z</dcterms:created>
  <dcterms:modified xsi:type="dcterms:W3CDTF">2022-10-11T08:00:02Z</dcterms:modified>
</cp:coreProperties>
</file>