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pple/Desktop/Tools/"/>
    </mc:Choice>
  </mc:AlternateContent>
  <xr:revisionPtr revIDLastSave="0" documentId="13_ncr:1_{963C5DD7-FCAA-2643-9889-121653AE9EB4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Buy Vs Rent Calculator" sheetId="1" r:id="rId1"/>
    <sheet name="Backend Engine" sheetId="3" r:id="rId2"/>
  </sheets>
  <definedNames>
    <definedName name="_xlnm.Print_Area" localSheetId="0">'Buy Vs Rent Calculator'!$B$2:$M$41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H21" i="1" s="1"/>
  <c r="D28" i="1" l="1"/>
  <c r="K19" i="1" s="1"/>
  <c r="K26" i="1" s="1"/>
  <c r="D20" i="1"/>
  <c r="H23" i="1" s="1"/>
  <c r="D19" i="1"/>
  <c r="K12" i="1"/>
  <c r="K14" i="1" s="1"/>
  <c r="O5" i="3"/>
  <c r="D21" i="1" l="1"/>
  <c r="D23" i="1" s="1"/>
  <c r="D24" i="1" s="1"/>
  <c r="D25" i="1" s="1"/>
  <c r="Q5" i="3"/>
  <c r="T5" i="3" s="1"/>
  <c r="O6" i="3"/>
  <c r="C53" i="1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22" i="1" l="1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Q6" i="3"/>
  <c r="T6" i="3" s="1"/>
  <c r="U5" i="3"/>
  <c r="H30" i="3"/>
  <c r="L30" i="3" s="1"/>
  <c r="I34" i="3"/>
  <c r="K34" i="3" s="1"/>
  <c r="I32" i="3"/>
  <c r="K32" i="3" s="1"/>
  <c r="I28" i="3"/>
  <c r="K28" i="3" s="1"/>
  <c r="I26" i="3"/>
  <c r="K26" i="3" s="1"/>
  <c r="H26" i="3"/>
  <c r="L26" i="3" s="1"/>
  <c r="I33" i="3"/>
  <c r="K33" i="3" s="1"/>
  <c r="H32" i="3"/>
  <c r="L32" i="3" s="1"/>
  <c r="I30" i="3"/>
  <c r="K30" i="3" s="1"/>
  <c r="H34" i="3"/>
  <c r="L34" i="3" s="1"/>
  <c r="H29" i="3"/>
  <c r="L29" i="3" s="1"/>
  <c r="H27" i="3"/>
  <c r="L27" i="3" s="1"/>
  <c r="I31" i="3"/>
  <c r="K31" i="3" s="1"/>
  <c r="I29" i="3"/>
  <c r="K29" i="3" s="1"/>
  <c r="I27" i="3"/>
  <c r="K27" i="3" s="1"/>
  <c r="H28" i="3"/>
  <c r="L28" i="3" s="1"/>
  <c r="H33" i="3"/>
  <c r="L33" i="3" s="1"/>
  <c r="H31" i="3"/>
  <c r="L31" i="3" s="1"/>
  <c r="H25" i="3"/>
  <c r="L25" i="3" s="1"/>
  <c r="I25" i="3"/>
  <c r="K25" i="3" s="1"/>
  <c r="Q7" i="3" l="1"/>
  <c r="Q8" i="3" s="1"/>
  <c r="T8" i="3" s="1"/>
  <c r="D5" i="3"/>
  <c r="D15" i="3"/>
  <c r="D14" i="3"/>
  <c r="D12" i="3"/>
  <c r="D10" i="3"/>
  <c r="C5" i="3"/>
  <c r="D9" i="3"/>
  <c r="D11" i="3"/>
  <c r="D13" i="3"/>
  <c r="D6" i="3"/>
  <c r="D8" i="3"/>
  <c r="D7" i="3"/>
  <c r="E5" i="3"/>
  <c r="D16" i="3"/>
  <c r="M27" i="3"/>
  <c r="N27" i="3" s="1"/>
  <c r="M30" i="3"/>
  <c r="N30" i="3" s="1"/>
  <c r="M32" i="3"/>
  <c r="N32" i="3" s="1"/>
  <c r="M29" i="3"/>
  <c r="N29" i="3" s="1"/>
  <c r="M33" i="3"/>
  <c r="N33" i="3" s="1"/>
  <c r="M31" i="3"/>
  <c r="N31" i="3" s="1"/>
  <c r="M25" i="3"/>
  <c r="N25" i="3" s="1"/>
  <c r="M28" i="3"/>
  <c r="N28" i="3" s="1"/>
  <c r="J26" i="3"/>
  <c r="M26" i="3"/>
  <c r="N26" i="3" s="1"/>
  <c r="J34" i="3"/>
  <c r="M34" i="3"/>
  <c r="N34" i="3" s="1"/>
  <c r="J28" i="3"/>
  <c r="J32" i="3"/>
  <c r="J27" i="3"/>
  <c r="J29" i="3"/>
  <c r="J31" i="3"/>
  <c r="J25" i="3"/>
  <c r="J33" i="3"/>
  <c r="J30" i="3"/>
  <c r="E42" i="3"/>
  <c r="E50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162" i="3"/>
  <c r="E170" i="3"/>
  <c r="E178" i="3"/>
  <c r="E186" i="3"/>
  <c r="E194" i="3"/>
  <c r="E202" i="3"/>
  <c r="E210" i="3"/>
  <c r="E218" i="3"/>
  <c r="E226" i="3"/>
  <c r="E234" i="3"/>
  <c r="E242" i="3"/>
  <c r="E11" i="3"/>
  <c r="E19" i="3"/>
  <c r="E27" i="3"/>
  <c r="D42" i="3"/>
  <c r="D50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162" i="3"/>
  <c r="D170" i="3"/>
  <c r="D178" i="3"/>
  <c r="D186" i="3"/>
  <c r="D194" i="3"/>
  <c r="D202" i="3"/>
  <c r="D210" i="3"/>
  <c r="D218" i="3"/>
  <c r="D226" i="3"/>
  <c r="D234" i="3"/>
  <c r="D242" i="3"/>
  <c r="D19" i="3"/>
  <c r="D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95" i="3"/>
  <c r="E203" i="3"/>
  <c r="E211" i="3"/>
  <c r="E219" i="3"/>
  <c r="E227" i="3"/>
  <c r="E235" i="3"/>
  <c r="E243" i="3"/>
  <c r="E12" i="3"/>
  <c r="E20" i="3"/>
  <c r="E28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3" i="3"/>
  <c r="D171" i="3"/>
  <c r="D179" i="3"/>
  <c r="D187" i="3"/>
  <c r="D195" i="3"/>
  <c r="D203" i="3"/>
  <c r="D211" i="3"/>
  <c r="D219" i="3"/>
  <c r="D227" i="3"/>
  <c r="D235" i="3"/>
  <c r="D243" i="3"/>
  <c r="D20" i="3"/>
  <c r="D28" i="3"/>
  <c r="E36" i="3"/>
  <c r="E44" i="3"/>
  <c r="E52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164" i="3"/>
  <c r="E172" i="3"/>
  <c r="E180" i="3"/>
  <c r="E37" i="3"/>
  <c r="E45" i="3"/>
  <c r="E53" i="3"/>
  <c r="E61" i="3"/>
  <c r="E69" i="3"/>
  <c r="E77" i="3"/>
  <c r="E85" i="3"/>
  <c r="E93" i="3"/>
  <c r="E101" i="3"/>
  <c r="E109" i="3"/>
  <c r="E117" i="3"/>
  <c r="E125" i="3"/>
  <c r="E133" i="3"/>
  <c r="E141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150" i="3"/>
  <c r="E158" i="3"/>
  <c r="E166" i="3"/>
  <c r="E174" i="3"/>
  <c r="E182" i="3"/>
  <c r="E190" i="3"/>
  <c r="E198" i="3"/>
  <c r="E206" i="3"/>
  <c r="E214" i="3"/>
  <c r="E222" i="3"/>
  <c r="E230" i="3"/>
  <c r="E238" i="3"/>
  <c r="E7" i="3"/>
  <c r="E15" i="3"/>
  <c r="E23" i="3"/>
  <c r="E31" i="3"/>
  <c r="D38" i="3"/>
  <c r="E39" i="3"/>
  <c r="E47" i="3"/>
  <c r="E55" i="3"/>
  <c r="E63" i="3"/>
  <c r="E71" i="3"/>
  <c r="E79" i="3"/>
  <c r="E87" i="3"/>
  <c r="E95" i="3"/>
  <c r="E103" i="3"/>
  <c r="E111" i="3"/>
  <c r="E40" i="3"/>
  <c r="E48" i="3"/>
  <c r="E56" i="3"/>
  <c r="E64" i="3"/>
  <c r="E72" i="3"/>
  <c r="E80" i="3"/>
  <c r="E88" i="3"/>
  <c r="E96" i="3"/>
  <c r="E104" i="3"/>
  <c r="E112" i="3"/>
  <c r="E120" i="3"/>
  <c r="E128" i="3"/>
  <c r="E136" i="3"/>
  <c r="E144" i="3"/>
  <c r="E152" i="3"/>
  <c r="E160" i="3"/>
  <c r="E168" i="3"/>
  <c r="E176" i="3"/>
  <c r="E184" i="3"/>
  <c r="E192" i="3"/>
  <c r="E200" i="3"/>
  <c r="E208" i="3"/>
  <c r="E216" i="3"/>
  <c r="E224" i="3"/>
  <c r="E232" i="3"/>
  <c r="E240" i="3"/>
  <c r="E9" i="3"/>
  <c r="E17" i="3"/>
  <c r="E25" i="3"/>
  <c r="E33" i="3"/>
  <c r="D40" i="3"/>
  <c r="D48" i="3"/>
  <c r="D56" i="3"/>
  <c r="D64" i="3"/>
  <c r="D72" i="3"/>
  <c r="D80" i="3"/>
  <c r="D88" i="3"/>
  <c r="D96" i="3"/>
  <c r="D104" i="3"/>
  <c r="D112" i="3"/>
  <c r="E41" i="3"/>
  <c r="E105" i="3"/>
  <c r="E143" i="3"/>
  <c r="E165" i="3"/>
  <c r="E185" i="3"/>
  <c r="E201" i="3"/>
  <c r="E217" i="3"/>
  <c r="E233" i="3"/>
  <c r="E10" i="3"/>
  <c r="E26" i="3"/>
  <c r="D41" i="3"/>
  <c r="D54" i="3"/>
  <c r="D68" i="3"/>
  <c r="D79" i="3"/>
  <c r="D93" i="3"/>
  <c r="D105" i="3"/>
  <c r="D118" i="3"/>
  <c r="D128" i="3"/>
  <c r="D140" i="3"/>
  <c r="D150" i="3"/>
  <c r="D160" i="3"/>
  <c r="D172" i="3"/>
  <c r="D182" i="3"/>
  <c r="D192" i="3"/>
  <c r="D204" i="3"/>
  <c r="D214" i="3"/>
  <c r="D224" i="3"/>
  <c r="D236" i="3"/>
  <c r="D17" i="3"/>
  <c r="D29" i="3"/>
  <c r="D121" i="3"/>
  <c r="D197" i="3"/>
  <c r="D239" i="3"/>
  <c r="E193" i="3"/>
  <c r="E241" i="3"/>
  <c r="E18" i="3"/>
  <c r="D73" i="3"/>
  <c r="D124" i="3"/>
  <c r="D156" i="3"/>
  <c r="D188" i="3"/>
  <c r="D208" i="3"/>
  <c r="D33" i="3"/>
  <c r="E49" i="3"/>
  <c r="E113" i="3"/>
  <c r="E145" i="3"/>
  <c r="E167" i="3"/>
  <c r="E188" i="3"/>
  <c r="E204" i="3"/>
  <c r="E220" i="3"/>
  <c r="E236" i="3"/>
  <c r="E13" i="3"/>
  <c r="E29" i="3"/>
  <c r="D44" i="3"/>
  <c r="D55" i="3"/>
  <c r="D69" i="3"/>
  <c r="D81" i="3"/>
  <c r="D94" i="3"/>
  <c r="D108" i="3"/>
  <c r="D119" i="3"/>
  <c r="D129" i="3"/>
  <c r="D141" i="3"/>
  <c r="D151" i="3"/>
  <c r="D161" i="3"/>
  <c r="D173" i="3"/>
  <c r="D183" i="3"/>
  <c r="D193" i="3"/>
  <c r="D205" i="3"/>
  <c r="D215" i="3"/>
  <c r="D225" i="3"/>
  <c r="D237" i="3"/>
  <c r="D18" i="3"/>
  <c r="D30" i="3"/>
  <c r="D110" i="3"/>
  <c r="D207" i="3"/>
  <c r="D22" i="3"/>
  <c r="E209" i="3"/>
  <c r="E34" i="3"/>
  <c r="D61" i="3"/>
  <c r="D111" i="3"/>
  <c r="D144" i="3"/>
  <c r="D166" i="3"/>
  <c r="D198" i="3"/>
  <c r="D240" i="3"/>
  <c r="E57" i="3"/>
  <c r="E119" i="3"/>
  <c r="E149" i="3"/>
  <c r="E169" i="3"/>
  <c r="E189" i="3"/>
  <c r="E205" i="3"/>
  <c r="E221" i="3"/>
  <c r="E237" i="3"/>
  <c r="E14" i="3"/>
  <c r="E30" i="3"/>
  <c r="D45" i="3"/>
  <c r="D57" i="3"/>
  <c r="D70" i="3"/>
  <c r="D84" i="3"/>
  <c r="D95" i="3"/>
  <c r="D109" i="3"/>
  <c r="D120" i="3"/>
  <c r="D132" i="3"/>
  <c r="D142" i="3"/>
  <c r="D152" i="3"/>
  <c r="D164" i="3"/>
  <c r="D174" i="3"/>
  <c r="D184" i="3"/>
  <c r="D196" i="3"/>
  <c r="D206" i="3"/>
  <c r="D216" i="3"/>
  <c r="D228" i="3"/>
  <c r="D238" i="3"/>
  <c r="D21" i="3"/>
  <c r="D31" i="3"/>
  <c r="D133" i="3"/>
  <c r="D175" i="3"/>
  <c r="D217" i="3"/>
  <c r="D32" i="3"/>
  <c r="E225" i="3"/>
  <c r="D47" i="3"/>
  <c r="D100" i="3"/>
  <c r="D134" i="3"/>
  <c r="D176" i="3"/>
  <c r="D220" i="3"/>
  <c r="D23" i="3"/>
  <c r="E65" i="3"/>
  <c r="E121" i="3"/>
  <c r="E151" i="3"/>
  <c r="E173" i="3"/>
  <c r="E191" i="3"/>
  <c r="E207" i="3"/>
  <c r="E223" i="3"/>
  <c r="E239" i="3"/>
  <c r="E16" i="3"/>
  <c r="E32" i="3"/>
  <c r="D46" i="3"/>
  <c r="D60" i="3"/>
  <c r="D71" i="3"/>
  <c r="D85" i="3"/>
  <c r="D97" i="3"/>
  <c r="D143" i="3"/>
  <c r="D153" i="3"/>
  <c r="D165" i="3"/>
  <c r="D185" i="3"/>
  <c r="D229" i="3"/>
  <c r="D86" i="3"/>
  <c r="D230" i="3"/>
  <c r="E73" i="3"/>
  <c r="E127" i="3"/>
  <c r="E153" i="3"/>
  <c r="E89" i="3"/>
  <c r="E135" i="3"/>
  <c r="E159" i="3"/>
  <c r="E181" i="3"/>
  <c r="E197" i="3"/>
  <c r="E213" i="3"/>
  <c r="E229" i="3"/>
  <c r="E6" i="3"/>
  <c r="E22" i="3"/>
  <c r="D37" i="3"/>
  <c r="D52" i="3"/>
  <c r="D63" i="3"/>
  <c r="D77" i="3"/>
  <c r="D89" i="3"/>
  <c r="D102" i="3"/>
  <c r="D116" i="3"/>
  <c r="D126" i="3"/>
  <c r="D136" i="3"/>
  <c r="D148" i="3"/>
  <c r="D158" i="3"/>
  <c r="D168" i="3"/>
  <c r="D180" i="3"/>
  <c r="D190" i="3"/>
  <c r="D200" i="3"/>
  <c r="D212" i="3"/>
  <c r="D222" i="3"/>
  <c r="D232" i="3"/>
  <c r="D244" i="3"/>
  <c r="D25" i="3"/>
  <c r="E97" i="3"/>
  <c r="E137" i="3"/>
  <c r="E161" i="3"/>
  <c r="E183" i="3"/>
  <c r="E199" i="3"/>
  <c r="E215" i="3"/>
  <c r="E231" i="3"/>
  <c r="E8" i="3"/>
  <c r="E24" i="3"/>
  <c r="D39" i="3"/>
  <c r="D53" i="3"/>
  <c r="D65" i="3"/>
  <c r="D78" i="3"/>
  <c r="D92" i="3"/>
  <c r="D103" i="3"/>
  <c r="D117" i="3"/>
  <c r="D127" i="3"/>
  <c r="D137" i="3"/>
  <c r="D149" i="3"/>
  <c r="D159" i="3"/>
  <c r="D169" i="3"/>
  <c r="D181" i="3"/>
  <c r="D191" i="3"/>
  <c r="D201" i="3"/>
  <c r="D213" i="3"/>
  <c r="D223" i="3"/>
  <c r="D233" i="3"/>
  <c r="D26" i="3"/>
  <c r="E228" i="3"/>
  <c r="D101" i="3"/>
  <c r="D189" i="3"/>
  <c r="D34" i="3"/>
  <c r="D199" i="3"/>
  <c r="E177" i="3"/>
  <c r="E81" i="3"/>
  <c r="E244" i="3"/>
  <c r="D113" i="3"/>
  <c r="D49" i="3"/>
  <c r="D157" i="3"/>
  <c r="E129" i="3"/>
  <c r="E21" i="3"/>
  <c r="D125" i="3"/>
  <c r="D209" i="3"/>
  <c r="E157" i="3"/>
  <c r="D36" i="3"/>
  <c r="D135" i="3"/>
  <c r="D221" i="3"/>
  <c r="D231" i="3"/>
  <c r="D62" i="3"/>
  <c r="D241" i="3"/>
  <c r="E175" i="3"/>
  <c r="D145" i="3"/>
  <c r="D167" i="3"/>
  <c r="E196" i="3"/>
  <c r="D76" i="3"/>
  <c r="E212" i="3"/>
  <c r="D87" i="3"/>
  <c r="D177" i="3"/>
  <c r="D24" i="3"/>
  <c r="T7" i="3" l="1"/>
  <c r="O23" i="3"/>
  <c r="Q9" i="3"/>
  <c r="H5" i="3"/>
  <c r="L5" i="3" s="1"/>
  <c r="H11" i="3"/>
  <c r="L11" i="3" s="1"/>
  <c r="I7" i="3"/>
  <c r="K7" i="3" s="1"/>
  <c r="I6" i="3"/>
  <c r="K6" i="3" s="1"/>
  <c r="H10" i="3"/>
  <c r="L10" i="3" s="1"/>
  <c r="H7" i="3"/>
  <c r="L7" i="3" s="1"/>
  <c r="H9" i="3"/>
  <c r="L9" i="3" s="1"/>
  <c r="H6" i="3"/>
  <c r="L6" i="3" s="1"/>
  <c r="I8" i="3"/>
  <c r="K8" i="3" s="1"/>
  <c r="I5" i="3"/>
  <c r="K5" i="3" s="1"/>
  <c r="H8" i="3"/>
  <c r="L8" i="3" s="1"/>
  <c r="C312" i="3"/>
  <c r="C320" i="3"/>
  <c r="C328" i="3"/>
  <c r="C336" i="3"/>
  <c r="C344" i="3"/>
  <c r="C352" i="3"/>
  <c r="C360" i="3"/>
  <c r="C334" i="3"/>
  <c r="C311" i="3"/>
  <c r="C305" i="3"/>
  <c r="C313" i="3"/>
  <c r="C321" i="3"/>
  <c r="C329" i="3"/>
  <c r="C337" i="3"/>
  <c r="C345" i="3"/>
  <c r="C353" i="3"/>
  <c r="C361" i="3"/>
  <c r="C327" i="3"/>
  <c r="C359" i="3"/>
  <c r="C306" i="3"/>
  <c r="C314" i="3"/>
  <c r="C322" i="3"/>
  <c r="C330" i="3"/>
  <c r="C338" i="3"/>
  <c r="C346" i="3"/>
  <c r="C354" i="3"/>
  <c r="C362" i="3"/>
  <c r="C316" i="3"/>
  <c r="C332" i="3"/>
  <c r="C356" i="3"/>
  <c r="C317" i="3"/>
  <c r="C333" i="3"/>
  <c r="C326" i="3"/>
  <c r="C350" i="3"/>
  <c r="C335" i="3"/>
  <c r="C307" i="3"/>
  <c r="C315" i="3"/>
  <c r="C323" i="3"/>
  <c r="C331" i="3"/>
  <c r="C339" i="3"/>
  <c r="C347" i="3"/>
  <c r="C355" i="3"/>
  <c r="C363" i="3"/>
  <c r="C308" i="3"/>
  <c r="C324" i="3"/>
  <c r="C348" i="3"/>
  <c r="C325" i="3"/>
  <c r="C341" i="3"/>
  <c r="C357" i="3"/>
  <c r="C310" i="3"/>
  <c r="C342" i="3"/>
  <c r="C319" i="3"/>
  <c r="C340" i="3"/>
  <c r="C364" i="3"/>
  <c r="C309" i="3"/>
  <c r="C349" i="3"/>
  <c r="C358" i="3"/>
  <c r="C343" i="3"/>
  <c r="C351" i="3"/>
  <c r="C318" i="3"/>
  <c r="C245" i="3"/>
  <c r="C253" i="3"/>
  <c r="C261" i="3"/>
  <c r="C269" i="3"/>
  <c r="C277" i="3"/>
  <c r="C285" i="3"/>
  <c r="C293" i="3"/>
  <c r="C301" i="3"/>
  <c r="C246" i="3"/>
  <c r="C278" i="3"/>
  <c r="C247" i="3"/>
  <c r="C255" i="3"/>
  <c r="C263" i="3"/>
  <c r="C271" i="3"/>
  <c r="C279" i="3"/>
  <c r="C287" i="3"/>
  <c r="C295" i="3"/>
  <c r="C303" i="3"/>
  <c r="C248" i="3"/>
  <c r="C256" i="3"/>
  <c r="C264" i="3"/>
  <c r="C272" i="3"/>
  <c r="C280" i="3"/>
  <c r="C288" i="3"/>
  <c r="C296" i="3"/>
  <c r="C304" i="3"/>
  <c r="C257" i="3"/>
  <c r="C265" i="3"/>
  <c r="C273" i="3"/>
  <c r="C281" i="3"/>
  <c r="C289" i="3"/>
  <c r="C297" i="3"/>
  <c r="C252" i="3"/>
  <c r="C284" i="3"/>
  <c r="C270" i="3"/>
  <c r="C249" i="3"/>
  <c r="C276" i="3"/>
  <c r="C292" i="3"/>
  <c r="C286" i="3"/>
  <c r="C250" i="3"/>
  <c r="C258" i="3"/>
  <c r="C266" i="3"/>
  <c r="C274" i="3"/>
  <c r="C282" i="3"/>
  <c r="C290" i="3"/>
  <c r="C298" i="3"/>
  <c r="C268" i="3"/>
  <c r="C300" i="3"/>
  <c r="C254" i="3"/>
  <c r="C294" i="3"/>
  <c r="C251" i="3"/>
  <c r="C259" i="3"/>
  <c r="C267" i="3"/>
  <c r="C275" i="3"/>
  <c r="C283" i="3"/>
  <c r="C291" i="3"/>
  <c r="C299" i="3"/>
  <c r="C260" i="3"/>
  <c r="C262" i="3"/>
  <c r="C302" i="3"/>
  <c r="I14" i="3"/>
  <c r="K14" i="3" s="1"/>
  <c r="H20" i="3"/>
  <c r="L20" i="3" s="1"/>
  <c r="I23" i="3"/>
  <c r="K23" i="3" s="1"/>
  <c r="I15" i="3"/>
  <c r="K15" i="3" s="1"/>
  <c r="I20" i="3"/>
  <c r="K20" i="3" s="1"/>
  <c r="H15" i="3"/>
  <c r="L15" i="3" s="1"/>
  <c r="I9" i="3"/>
  <c r="K9" i="3" s="1"/>
  <c r="H24" i="3"/>
  <c r="L24" i="3" s="1"/>
  <c r="I10" i="3"/>
  <c r="I13" i="3"/>
  <c r="K13" i="3" s="1"/>
  <c r="I18" i="3"/>
  <c r="K18" i="3" s="1"/>
  <c r="I12" i="3"/>
  <c r="K12" i="3" s="1"/>
  <c r="H16" i="3"/>
  <c r="L16" i="3" s="1"/>
  <c r="H23" i="3"/>
  <c r="L23" i="3" s="1"/>
  <c r="H18" i="3"/>
  <c r="L18" i="3" s="1"/>
  <c r="H21" i="3"/>
  <c r="L21" i="3" s="1"/>
  <c r="H22" i="3"/>
  <c r="L22" i="3" s="1"/>
  <c r="I19" i="3"/>
  <c r="K19" i="3" s="1"/>
  <c r="H17" i="3"/>
  <c r="L17" i="3" s="1"/>
  <c r="I16" i="3"/>
  <c r="K16" i="3" s="1"/>
  <c r="H13" i="3"/>
  <c r="L13" i="3" s="1"/>
  <c r="H12" i="3"/>
  <c r="L12" i="3" s="1"/>
  <c r="I24" i="3"/>
  <c r="K24" i="3" s="1"/>
  <c r="I17" i="3"/>
  <c r="K17" i="3" s="1"/>
  <c r="H19" i="3"/>
  <c r="L19" i="3" s="1"/>
  <c r="H14" i="3"/>
  <c r="L14" i="3" s="1"/>
  <c r="I21" i="3"/>
  <c r="K21" i="3" s="1"/>
  <c r="I22" i="3"/>
  <c r="K22" i="3" s="1"/>
  <c r="I11" i="3"/>
  <c r="K11" i="3" s="1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35" i="3"/>
  <c r="C38" i="3"/>
  <c r="C47" i="3"/>
  <c r="C56" i="3"/>
  <c r="C65" i="3"/>
  <c r="C75" i="3"/>
  <c r="C84" i="3"/>
  <c r="C93" i="3"/>
  <c r="C102" i="3"/>
  <c r="C111" i="3"/>
  <c r="C120" i="3"/>
  <c r="C129" i="3"/>
  <c r="C139" i="3"/>
  <c r="C148" i="3"/>
  <c r="C157" i="3"/>
  <c r="C166" i="3"/>
  <c r="C175" i="3"/>
  <c r="C184" i="3"/>
  <c r="C193" i="3"/>
  <c r="C203" i="3"/>
  <c r="C212" i="3"/>
  <c r="C221" i="3"/>
  <c r="C230" i="3"/>
  <c r="C239" i="3"/>
  <c r="C8" i="3"/>
  <c r="C16" i="3"/>
  <c r="C24" i="3"/>
  <c r="C32" i="3"/>
  <c r="C9" i="3"/>
  <c r="C25" i="3"/>
  <c r="C232" i="3"/>
  <c r="C10" i="3"/>
  <c r="C34" i="3"/>
  <c r="C60" i="3"/>
  <c r="C87" i="3"/>
  <c r="C124" i="3"/>
  <c r="C151" i="3"/>
  <c r="C179" i="3"/>
  <c r="C206" i="3"/>
  <c r="C224" i="3"/>
  <c r="C27" i="3"/>
  <c r="C61" i="3"/>
  <c r="C88" i="3"/>
  <c r="C125" i="3"/>
  <c r="C152" i="3"/>
  <c r="C189" i="3"/>
  <c r="C216" i="3"/>
  <c r="C39" i="3"/>
  <c r="C48" i="3"/>
  <c r="C57" i="3"/>
  <c r="C67" i="3"/>
  <c r="C76" i="3"/>
  <c r="C85" i="3"/>
  <c r="C94" i="3"/>
  <c r="C103" i="3"/>
  <c r="C112" i="3"/>
  <c r="C121" i="3"/>
  <c r="C131" i="3"/>
  <c r="C140" i="3"/>
  <c r="C149" i="3"/>
  <c r="C158" i="3"/>
  <c r="C167" i="3"/>
  <c r="C176" i="3"/>
  <c r="C185" i="3"/>
  <c r="C195" i="3"/>
  <c r="C204" i="3"/>
  <c r="C213" i="3"/>
  <c r="C222" i="3"/>
  <c r="C231" i="3"/>
  <c r="C240" i="3"/>
  <c r="C17" i="3"/>
  <c r="C33" i="3"/>
  <c r="C241" i="3"/>
  <c r="C26" i="3"/>
  <c r="C51" i="3"/>
  <c r="C78" i="3"/>
  <c r="C105" i="3"/>
  <c r="C133" i="3"/>
  <c r="C160" i="3"/>
  <c r="C197" i="3"/>
  <c r="C233" i="3"/>
  <c r="C11" i="3"/>
  <c r="C52" i="3"/>
  <c r="C79" i="3"/>
  <c r="C116" i="3"/>
  <c r="C143" i="3"/>
  <c r="C180" i="3"/>
  <c r="C207" i="3"/>
  <c r="C40" i="3"/>
  <c r="C49" i="3"/>
  <c r="C59" i="3"/>
  <c r="C68" i="3"/>
  <c r="C77" i="3"/>
  <c r="C86" i="3"/>
  <c r="C95" i="3"/>
  <c r="C104" i="3"/>
  <c r="C113" i="3"/>
  <c r="C123" i="3"/>
  <c r="C132" i="3"/>
  <c r="C141" i="3"/>
  <c r="C150" i="3"/>
  <c r="C159" i="3"/>
  <c r="C168" i="3"/>
  <c r="C177" i="3"/>
  <c r="C187" i="3"/>
  <c r="C196" i="3"/>
  <c r="C205" i="3"/>
  <c r="C214" i="3"/>
  <c r="C223" i="3"/>
  <c r="C18" i="3"/>
  <c r="C69" i="3"/>
  <c r="C96" i="3"/>
  <c r="C115" i="3"/>
  <c r="C142" i="3"/>
  <c r="C169" i="3"/>
  <c r="C188" i="3"/>
  <c r="C215" i="3"/>
  <c r="C242" i="3"/>
  <c r="C19" i="3"/>
  <c r="C70" i="3"/>
  <c r="C97" i="3"/>
  <c r="C134" i="3"/>
  <c r="C161" i="3"/>
  <c r="C198" i="3"/>
  <c r="C225" i="3"/>
  <c r="C41" i="3"/>
  <c r="C43" i="3"/>
  <c r="C107" i="3"/>
  <c r="C171" i="3"/>
  <c r="C235" i="3"/>
  <c r="C36" i="3"/>
  <c r="C45" i="3"/>
  <c r="C54" i="3"/>
  <c r="C63" i="3"/>
  <c r="C72" i="3"/>
  <c r="C81" i="3"/>
  <c r="C91" i="3"/>
  <c r="C100" i="3"/>
  <c r="C109" i="3"/>
  <c r="C118" i="3"/>
  <c r="C127" i="3"/>
  <c r="C136" i="3"/>
  <c r="C145" i="3"/>
  <c r="C155" i="3"/>
  <c r="C164" i="3"/>
  <c r="C173" i="3"/>
  <c r="C182" i="3"/>
  <c r="C191" i="3"/>
  <c r="C200" i="3"/>
  <c r="C209" i="3"/>
  <c r="C219" i="3"/>
  <c r="C228" i="3"/>
  <c r="C237" i="3"/>
  <c r="C6" i="3"/>
  <c r="C14" i="3"/>
  <c r="C22" i="3"/>
  <c r="C30" i="3"/>
  <c r="C37" i="3"/>
  <c r="C46" i="3"/>
  <c r="C55" i="3"/>
  <c r="C64" i="3"/>
  <c r="C73" i="3"/>
  <c r="C83" i="3"/>
  <c r="C92" i="3"/>
  <c r="C101" i="3"/>
  <c r="C110" i="3"/>
  <c r="C119" i="3"/>
  <c r="C128" i="3"/>
  <c r="C137" i="3"/>
  <c r="C147" i="3"/>
  <c r="C156" i="3"/>
  <c r="C165" i="3"/>
  <c r="C174" i="3"/>
  <c r="C183" i="3"/>
  <c r="C192" i="3"/>
  <c r="C108" i="3"/>
  <c r="C181" i="3"/>
  <c r="C227" i="3"/>
  <c r="C13" i="3"/>
  <c r="C117" i="3"/>
  <c r="C190" i="3"/>
  <c r="C15" i="3"/>
  <c r="C201" i="3"/>
  <c r="C208" i="3"/>
  <c r="C211" i="3"/>
  <c r="C217" i="3"/>
  <c r="C29" i="3"/>
  <c r="C31" i="3"/>
  <c r="C44" i="3"/>
  <c r="C229" i="3"/>
  <c r="C135" i="3"/>
  <c r="C21" i="3"/>
  <c r="C144" i="3"/>
  <c r="C23" i="3"/>
  <c r="C80" i="3"/>
  <c r="C28" i="3"/>
  <c r="C53" i="3"/>
  <c r="C126" i="3"/>
  <c r="C199" i="3"/>
  <c r="C236" i="3"/>
  <c r="C20" i="3"/>
  <c r="C62" i="3"/>
  <c r="C238" i="3"/>
  <c r="C71" i="3"/>
  <c r="C153" i="3"/>
  <c r="C172" i="3"/>
  <c r="C220" i="3"/>
  <c r="C243" i="3"/>
  <c r="C244" i="3"/>
  <c r="C7" i="3"/>
  <c r="C12" i="3"/>
  <c r="C163" i="3"/>
  <c r="C89" i="3"/>
  <c r="C99" i="3"/>
  <c r="K10" i="3" l="1"/>
  <c r="M10" i="3" s="1"/>
  <c r="N10" i="3" s="1"/>
  <c r="O24" i="3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D26" i="1" s="1"/>
  <c r="D27" i="1" s="1"/>
  <c r="T9" i="3"/>
  <c r="Q10" i="3"/>
  <c r="U6" i="3"/>
  <c r="U7" i="3"/>
  <c r="M7" i="3"/>
  <c r="N7" i="3" s="1"/>
  <c r="M11" i="3"/>
  <c r="N11" i="3" s="1"/>
  <c r="M22" i="3"/>
  <c r="N22" i="3" s="1"/>
  <c r="M12" i="3"/>
  <c r="N12" i="3" s="1"/>
  <c r="M21" i="3"/>
  <c r="N21" i="3" s="1"/>
  <c r="M18" i="3"/>
  <c r="N18" i="3" s="1"/>
  <c r="J5" i="3"/>
  <c r="R5" i="3" s="1"/>
  <c r="M20" i="3"/>
  <c r="N20" i="3" s="1"/>
  <c r="M9" i="3"/>
  <c r="N9" i="3" s="1"/>
  <c r="M13" i="3"/>
  <c r="N13" i="3" s="1"/>
  <c r="M17" i="3"/>
  <c r="N17" i="3" s="1"/>
  <c r="M16" i="3"/>
  <c r="N16" i="3" s="1"/>
  <c r="M15" i="3"/>
  <c r="N15" i="3" s="1"/>
  <c r="M19" i="3"/>
  <c r="N19" i="3" s="1"/>
  <c r="M8" i="3"/>
  <c r="N8" i="3" s="1"/>
  <c r="M14" i="3"/>
  <c r="N14" i="3" s="1"/>
  <c r="M6" i="3"/>
  <c r="N6" i="3" s="1"/>
  <c r="M23" i="3"/>
  <c r="N23" i="3" s="1"/>
  <c r="M24" i="3"/>
  <c r="N24" i="3" s="1"/>
  <c r="J12" i="3"/>
  <c r="J19" i="3"/>
  <c r="J6" i="3"/>
  <c r="R6" i="3" s="1"/>
  <c r="J23" i="3"/>
  <c r="J20" i="3"/>
  <c r="J14" i="3"/>
  <c r="J10" i="3"/>
  <c r="J7" i="3"/>
  <c r="R7" i="3" s="1"/>
  <c r="J21" i="3"/>
  <c r="J15" i="3"/>
  <c r="J22" i="3"/>
  <c r="J9" i="3"/>
  <c r="R9" i="3" s="1"/>
  <c r="J18" i="3"/>
  <c r="J13" i="3"/>
  <c r="J8" i="3"/>
  <c r="R8" i="3" s="1"/>
  <c r="J11" i="3"/>
  <c r="J16" i="3"/>
  <c r="J24" i="3"/>
  <c r="J17" i="3"/>
  <c r="R10" i="3" l="1"/>
  <c r="S10" i="3" s="1"/>
  <c r="K21" i="1"/>
  <c r="S9" i="3"/>
  <c r="S8" i="3"/>
  <c r="S7" i="3"/>
  <c r="S6" i="3"/>
  <c r="S5" i="3"/>
  <c r="T10" i="3"/>
  <c r="M5" i="3"/>
  <c r="N5" i="3" l="1"/>
  <c r="D29" i="1" s="1"/>
  <c r="U8" i="3"/>
  <c r="U9" i="3" l="1"/>
  <c r="Q11" i="3"/>
  <c r="R11" i="3" s="1"/>
  <c r="T11" i="3" l="1"/>
  <c r="U10" i="3"/>
  <c r="Q12" i="3"/>
  <c r="R12" i="3" s="1"/>
  <c r="T12" i="3" l="1"/>
  <c r="U11" i="3"/>
  <c r="Q13" i="3"/>
  <c r="R13" i="3" s="1"/>
  <c r="S11" i="3"/>
  <c r="T13" i="3" l="1"/>
  <c r="U12" i="3"/>
  <c r="Q14" i="3"/>
  <c r="R14" i="3" s="1"/>
  <c r="S12" i="3"/>
  <c r="T14" i="3" l="1"/>
  <c r="U13" i="3"/>
  <c r="Q15" i="3"/>
  <c r="R15" i="3" s="1"/>
  <c r="S13" i="3"/>
  <c r="T15" i="3" l="1"/>
  <c r="U14" i="3"/>
  <c r="Q16" i="3"/>
  <c r="R16" i="3" s="1"/>
  <c r="S14" i="3"/>
  <c r="T16" i="3" l="1"/>
  <c r="U15" i="3"/>
  <c r="Q17" i="3"/>
  <c r="R17" i="3" s="1"/>
  <c r="S15" i="3"/>
  <c r="T17" i="3" l="1"/>
  <c r="U16" i="3"/>
  <c r="Q18" i="3"/>
  <c r="R18" i="3" s="1"/>
  <c r="S16" i="3"/>
  <c r="T18" i="3" l="1"/>
  <c r="U17" i="3"/>
  <c r="Q19" i="3"/>
  <c r="R19" i="3" s="1"/>
  <c r="S17" i="3"/>
  <c r="T19" i="3" l="1"/>
  <c r="U18" i="3"/>
  <c r="Q20" i="3"/>
  <c r="R20" i="3" s="1"/>
  <c r="S18" i="3"/>
  <c r="T20" i="3" l="1"/>
  <c r="U19" i="3"/>
  <c r="Q21" i="3"/>
  <c r="R21" i="3" s="1"/>
  <c r="S19" i="3"/>
  <c r="T21" i="3" l="1"/>
  <c r="U20" i="3"/>
  <c r="Q22" i="3"/>
  <c r="R22" i="3" s="1"/>
  <c r="S20" i="3"/>
  <c r="T22" i="3" l="1"/>
  <c r="U21" i="3"/>
  <c r="Q23" i="3"/>
  <c r="R23" i="3" s="1"/>
  <c r="S21" i="3"/>
  <c r="T23" i="3" l="1"/>
  <c r="U22" i="3"/>
  <c r="Q24" i="3"/>
  <c r="R24" i="3" s="1"/>
  <c r="S22" i="3"/>
  <c r="T24" i="3" l="1"/>
  <c r="U23" i="3"/>
  <c r="Q25" i="3"/>
  <c r="R25" i="3" s="1"/>
  <c r="S23" i="3"/>
  <c r="T25" i="3" l="1"/>
  <c r="U24" i="3"/>
  <c r="Q26" i="3"/>
  <c r="R26" i="3" s="1"/>
  <c r="S24" i="3"/>
  <c r="T26" i="3" l="1"/>
  <c r="Q27" i="3"/>
  <c r="R27" i="3" s="1"/>
  <c r="U25" i="3"/>
  <c r="S25" i="3"/>
  <c r="T27" i="3" l="1"/>
  <c r="Q28" i="3"/>
  <c r="R28" i="3" s="1"/>
  <c r="U26" i="3"/>
  <c r="S26" i="3"/>
  <c r="T28" i="3" l="1"/>
  <c r="Q29" i="3"/>
  <c r="R29" i="3" s="1"/>
  <c r="U27" i="3"/>
  <c r="S27" i="3"/>
  <c r="T29" i="3" l="1"/>
  <c r="Q30" i="3"/>
  <c r="R30" i="3" s="1"/>
  <c r="U28" i="3"/>
  <c r="S28" i="3"/>
  <c r="T30" i="3" l="1"/>
  <c r="Q31" i="3"/>
  <c r="R31" i="3" s="1"/>
  <c r="U29" i="3"/>
  <c r="S29" i="3"/>
  <c r="T31" i="3" l="1"/>
  <c r="Q32" i="3"/>
  <c r="R32" i="3" s="1"/>
  <c r="U30" i="3"/>
  <c r="S30" i="3"/>
  <c r="T32" i="3" l="1"/>
  <c r="Q33" i="3"/>
  <c r="R33" i="3" s="1"/>
  <c r="U31" i="3"/>
  <c r="S31" i="3"/>
  <c r="T33" i="3" l="1"/>
  <c r="Q34" i="3"/>
  <c r="R34" i="3" s="1"/>
  <c r="U32" i="3"/>
  <c r="S32" i="3"/>
  <c r="H22" i="1" l="1"/>
  <c r="L21" i="1" s="1"/>
  <c r="L28" i="1" s="1"/>
  <c r="T34" i="3"/>
  <c r="U33" i="3"/>
  <c r="S33" i="3"/>
  <c r="U34" i="3" l="1"/>
  <c r="H25" i="1" s="1"/>
  <c r="S34" i="3" l="1"/>
  <c r="D30" i="1" s="1"/>
  <c r="D31" i="1" s="1"/>
  <c r="D32" i="1" l="1"/>
  <c r="K20" i="1"/>
  <c r="H24" i="1"/>
  <c r="H26" i="1" s="1"/>
  <c r="H27" i="1" l="1"/>
  <c r="L20" i="1"/>
  <c r="L27" i="1" s="1"/>
  <c r="L29" i="1" s="1"/>
  <c r="K27" i="1" l="1"/>
  <c r="K29" i="1" s="1"/>
  <c r="M29" i="1" s="1"/>
  <c r="L22" i="1"/>
  <c r="K22" i="1"/>
  <c r="M22" i="1" l="1"/>
</calcChain>
</file>

<file path=xl/sharedStrings.xml><?xml version="1.0" encoding="utf-8"?>
<sst xmlns="http://schemas.openxmlformats.org/spreadsheetml/2006/main" count="125" uniqueCount="91">
  <si>
    <t>Rental and property assumption</t>
  </si>
  <si>
    <t>Investment assumptions</t>
  </si>
  <si>
    <t>Flat cost</t>
  </si>
  <si>
    <t>Annual increase in rent</t>
  </si>
  <si>
    <t>Source</t>
  </si>
  <si>
    <t>Down payment %</t>
  </si>
  <si>
    <t>Annual interest rate</t>
  </si>
  <si>
    <t>Property appreciation %</t>
  </si>
  <si>
    <t>Loan period in years</t>
  </si>
  <si>
    <t>Rental Yield</t>
  </si>
  <si>
    <t>Buy</t>
  </si>
  <si>
    <t>Rent</t>
  </si>
  <si>
    <t>Sl. No.</t>
  </si>
  <si>
    <t>Details</t>
  </si>
  <si>
    <t>INR</t>
  </si>
  <si>
    <t>Item</t>
  </si>
  <si>
    <t>Verdict (INR Crores)</t>
  </si>
  <si>
    <t>a</t>
  </si>
  <si>
    <t>Current Rent paid</t>
  </si>
  <si>
    <t>Property</t>
  </si>
  <si>
    <t>-</t>
  </si>
  <si>
    <t>b</t>
  </si>
  <si>
    <t>Down payment</t>
  </si>
  <si>
    <t>Liquid assets</t>
  </si>
  <si>
    <t>c</t>
  </si>
  <si>
    <t>Loan</t>
  </si>
  <si>
    <t>Total rental expense</t>
  </si>
  <si>
    <t>Total</t>
  </si>
  <si>
    <t>d</t>
  </si>
  <si>
    <t>EMI</t>
  </si>
  <si>
    <t>e</t>
  </si>
  <si>
    <t>Total interest paid</t>
  </si>
  <si>
    <t>f</t>
  </si>
  <si>
    <t>Total payment done on loan (c + e)</t>
  </si>
  <si>
    <t>g</t>
  </si>
  <si>
    <t>Total payment done on flat (b+f)</t>
  </si>
  <si>
    <t>h</t>
  </si>
  <si>
    <t>i</t>
  </si>
  <si>
    <t>j</t>
  </si>
  <si>
    <t>k</t>
  </si>
  <si>
    <t>l</t>
  </si>
  <si>
    <t>m</t>
  </si>
  <si>
    <t>n</t>
  </si>
  <si>
    <t>Total Profit (Owning a house)</t>
  </si>
  <si>
    <t>Investable amount</t>
  </si>
  <si>
    <t>HRA tax savings</t>
  </si>
  <si>
    <t>Tax slab</t>
  </si>
  <si>
    <t>Yearly Principal</t>
  </si>
  <si>
    <t>Yearly Interest</t>
  </si>
  <si>
    <t>Months</t>
  </si>
  <si>
    <t>Years</t>
  </si>
  <si>
    <t>Principal</t>
  </si>
  <si>
    <t>Interest</t>
  </si>
  <si>
    <t>Property Maintenance Cost</t>
  </si>
  <si>
    <t>Maintenance cost</t>
  </si>
  <si>
    <t>Maintenance cost over the years</t>
  </si>
  <si>
    <t>Tax saved on interest</t>
  </si>
  <si>
    <t>Tax saved on principal</t>
  </si>
  <si>
    <t>Total tax saved</t>
  </si>
  <si>
    <t>Maintenance</t>
  </si>
  <si>
    <t>Property Maintenance appreciation %</t>
  </si>
  <si>
    <t>Property value after home loan is paid off</t>
  </si>
  <si>
    <t>Final value after loan is repaid</t>
  </si>
  <si>
    <t>Total liquid investment</t>
  </si>
  <si>
    <t>Total cost of home ownership (g+h)</t>
  </si>
  <si>
    <t>Total rent paid during loan tenure</t>
  </si>
  <si>
    <t>Invested tax savings after loan ends</t>
  </si>
  <si>
    <t>Invested down payment after loan ends</t>
  </si>
  <si>
    <t>Invested HRA tax savings</t>
  </si>
  <si>
    <t>Which is better after loan ends?</t>
  </si>
  <si>
    <t>Purchased home early (INR Crores)</t>
  </si>
  <si>
    <t>Rent (INR Crores)</t>
  </si>
  <si>
    <t>Rent paid</t>
  </si>
  <si>
    <t>Total savings (e+f+g)</t>
  </si>
  <si>
    <t>Total Profit (h-d)</t>
  </si>
  <si>
    <t>Investment returns</t>
  </si>
  <si>
    <t>Cost</t>
  </si>
  <si>
    <t>SI. No.</t>
  </si>
  <si>
    <t>Applicability of Section 80C</t>
  </si>
  <si>
    <t>Section 80 C Limit</t>
  </si>
  <si>
    <t>Utilized in other amounts</t>
  </si>
  <si>
    <t>Available amount</t>
  </si>
  <si>
    <t>Fill Loan Related Information</t>
  </si>
  <si>
    <t xml:space="preserve">Number of applicants for home loan </t>
  </si>
  <si>
    <t>This workbook along with all its contents are the intellectual property of Finance with Sharan, distribution of which is strictly prohibited.</t>
  </si>
  <si>
    <t>Input cells</t>
  </si>
  <si>
    <t>Formula cells (you cannot edit)</t>
  </si>
  <si>
    <t>10 years later loan ends</t>
  </si>
  <si>
    <t>Invested rent savings (when rent &gt; EMI)</t>
  </si>
  <si>
    <t>Invested EMI savings (when EMI &gt; rent)</t>
  </si>
  <si>
    <t>Interiors cost (10-12% of flat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</si>
</sst>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8" formatCode="&quot;₹&quot;#,##0.00_);[Red]\(&quot;₹&quot;#,##0.00\)"/>
    <numFmt numFmtId="43" formatCode="_(* #,##0.00_);_(* \(#,##0.00\);_(* &quot;-&quot;??_);_(@_)"/>
    <numFmt numFmtId="164" formatCode="&quot;₹&quot;\ #,##0.00;[Red]&quot;₹&quot;\ \-#,##0.00"/>
    <numFmt numFmtId="165" formatCode="_ * #,##0.00_ ;_ * \-#,##0.00_ ;_ * &quot;-&quot;??_ ;_ @_ "/>
    <numFmt numFmtId="166" formatCode="_(* #,##0_);_(* \(#,##0\);_(* &quot;-&quot;??_);_(@_)"/>
    <numFmt numFmtId="167" formatCode="0.0%"/>
    <numFmt numFmtId="168" formatCode="[$-14009]dd/mm/yyyy"/>
    <numFmt numFmtId="169" formatCode="0.0"/>
    <numFmt numFmtId="170" formatCode="[$₹]#,##0"/>
    <numFmt numFmtId="171" formatCode="_(* #,##0.0_);_(* \(#,##0.0\);_(* &quot;-&quot;?_);_(@_)"/>
    <numFmt numFmtId="172" formatCode="[$₹-820]#,##0.0"/>
    <numFmt numFmtId="173" formatCode="_ * #,##0_ ;_ * \-#,##0_ ;_ * &quot;-&quot;??_ ;_ @_ "/>
    <numFmt numFmtId="174" formatCode="0.00000"/>
  </numFmts>
  <fonts count="31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44546A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6"/>
      <color rgb="FF44546A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2"/>
      <color theme="0"/>
      <name val="Calibri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5" tint="0.79998168889431442"/>
        <bgColor rgb="FFF7CAA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79998168889431442"/>
        <bgColor rgb="FFF7CAA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9CC2E5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165" fontId="20" fillId="0" borderId="0" applyFont="0" applyFill="0" applyBorder="0" applyAlignment="0" applyProtection="0"/>
    <xf numFmtId="0" fontId="3" fillId="0" borderId="1"/>
    <xf numFmtId="9" fontId="24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 applyAlignment="1">
      <alignment wrapText="1"/>
    </xf>
    <xf numFmtId="0" fontId="6" fillId="0" borderId="0" xfId="0" applyFont="1"/>
    <xf numFmtId="0" fontId="17" fillId="0" borderId="1" xfId="0" applyFont="1" applyBorder="1" applyAlignment="1">
      <alignment vertical="center"/>
    </xf>
    <xf numFmtId="0" fontId="0" fillId="0" borderId="1" xfId="0" applyBorder="1"/>
    <xf numFmtId="0" fontId="17" fillId="7" borderId="1" xfId="0" applyFont="1" applyFill="1" applyBorder="1" applyAlignment="1">
      <alignment vertical="center"/>
    </xf>
    <xf numFmtId="166" fontId="0" fillId="9" borderId="1" xfId="0" applyNumberFormat="1" applyFill="1" applyBorder="1"/>
    <xf numFmtId="0" fontId="0" fillId="7" borderId="1" xfId="0" applyFill="1" applyBorder="1"/>
    <xf numFmtId="0" fontId="19" fillId="8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6" fillId="0" borderId="1" xfId="0" applyFont="1" applyBorder="1" applyAlignment="1" applyProtection="1">
      <alignment vertical="center"/>
      <protection hidden="1"/>
    </xf>
    <xf numFmtId="0" fontId="0" fillId="0" borderId="1" xfId="0" applyBorder="1" applyAlignment="1" applyProtection="1">
      <alignment wrapText="1"/>
      <protection hidden="1"/>
    </xf>
    <xf numFmtId="0" fontId="7" fillId="2" borderId="1" xfId="0" applyFont="1" applyFill="1" applyBorder="1" applyProtection="1"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9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0" fontId="17" fillId="10" borderId="1" xfId="0" applyFont="1" applyFill="1" applyBorder="1" applyAlignment="1" applyProtection="1">
      <alignment horizontal="center"/>
      <protection hidden="1"/>
    </xf>
    <xf numFmtId="43" fontId="5" fillId="10" borderId="1" xfId="0" applyNumberFormat="1" applyFont="1" applyFill="1" applyBorder="1" applyAlignment="1" applyProtection="1">
      <alignment horizontal="center" vertical="center" wrapText="1"/>
      <protection hidden="1"/>
    </xf>
    <xf numFmtId="0" fontId="22" fillId="0" borderId="1" xfId="0" applyFont="1" applyBorder="1" applyProtection="1">
      <protection hidden="1"/>
    </xf>
    <xf numFmtId="43" fontId="5" fillId="0" borderId="1" xfId="0" applyNumberFormat="1" applyFont="1" applyBorder="1" applyAlignment="1" applyProtection="1">
      <alignment vertical="center" wrapText="1"/>
      <protection hidden="1"/>
    </xf>
    <xf numFmtId="173" fontId="5" fillId="0" borderId="1" xfId="1" applyNumberFormat="1" applyFont="1" applyFill="1" applyBorder="1" applyAlignment="1" applyProtection="1">
      <alignment horizontal="center" vertical="center"/>
      <protection hidden="1"/>
    </xf>
    <xf numFmtId="173" fontId="11" fillId="0" borderId="1" xfId="1" applyNumberFormat="1" applyFont="1" applyFill="1" applyBorder="1" applyAlignment="1" applyProtection="1">
      <alignment horizontal="center" vertical="center"/>
      <protection hidden="1"/>
    </xf>
    <xf numFmtId="0" fontId="11" fillId="0" borderId="1" xfId="0" applyFont="1" applyBorder="1" applyProtection="1">
      <protection hidden="1"/>
    </xf>
    <xf numFmtId="0" fontId="11" fillId="10" borderId="1" xfId="0" applyFont="1" applyFill="1" applyBorder="1" applyAlignment="1" applyProtection="1">
      <alignment horizontal="center" vertical="center"/>
      <protection hidden="1"/>
    </xf>
    <xf numFmtId="166" fontId="11" fillId="0" borderId="1" xfId="0" applyNumberFormat="1" applyFont="1" applyBorder="1" applyProtection="1">
      <protection hidden="1"/>
    </xf>
    <xf numFmtId="0" fontId="11" fillId="10" borderId="1" xfId="0" applyFont="1" applyFill="1" applyBorder="1" applyAlignment="1" applyProtection="1">
      <alignment horizontal="center" vertical="center" wrapText="1"/>
      <protection hidden="1"/>
    </xf>
    <xf numFmtId="43" fontId="5" fillId="10" borderId="1" xfId="0" applyNumberFormat="1" applyFont="1" applyFill="1" applyBorder="1" applyAlignment="1" applyProtection="1">
      <alignment vertical="center" wrapText="1"/>
      <protection hidden="1"/>
    </xf>
    <xf numFmtId="10" fontId="11" fillId="0" borderId="1" xfId="0" applyNumberFormat="1" applyFont="1" applyBorder="1" applyProtection="1">
      <protection hidden="1"/>
    </xf>
    <xf numFmtId="0" fontId="5" fillId="10" borderId="1" xfId="0" applyFont="1" applyFill="1" applyBorder="1" applyAlignment="1" applyProtection="1">
      <alignment horizontal="center" vertical="center"/>
      <protection hidden="1"/>
    </xf>
    <xf numFmtId="0" fontId="5" fillId="10" borderId="1" xfId="0" applyFont="1" applyFill="1" applyBorder="1" applyAlignment="1" applyProtection="1">
      <alignment horizontal="center"/>
      <protection hidden="1"/>
    </xf>
    <xf numFmtId="43" fontId="11" fillId="10" borderId="1" xfId="0" applyNumberFormat="1" applyFont="1" applyFill="1" applyBorder="1" applyAlignment="1" applyProtection="1">
      <alignment horizontal="center" vertical="center" wrapText="1"/>
      <protection hidden="1"/>
    </xf>
    <xf numFmtId="166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66" fontId="11" fillId="10" borderId="1" xfId="0" applyNumberFormat="1" applyFont="1" applyFill="1" applyBorder="1" applyAlignment="1" applyProtection="1">
      <alignment horizontal="left" vertical="center" wrapText="1"/>
      <protection hidden="1"/>
    </xf>
    <xf numFmtId="166" fontId="11" fillId="0" borderId="1" xfId="0" applyNumberFormat="1" applyFont="1" applyBorder="1" applyAlignment="1" applyProtection="1">
      <alignment horizontal="center" vertical="center" wrapText="1"/>
      <protection hidden="1"/>
    </xf>
    <xf numFmtId="166" fontId="11" fillId="12" borderId="1" xfId="0" applyNumberFormat="1" applyFont="1" applyFill="1" applyBorder="1" applyAlignment="1" applyProtection="1">
      <alignment horizontal="left" vertical="center" wrapText="1"/>
      <protection hidden="1"/>
    </xf>
    <xf numFmtId="0" fontId="16" fillId="13" borderId="1" xfId="0" applyFont="1" applyFill="1" applyBorder="1" applyAlignment="1" applyProtection="1">
      <alignment horizontal="center" vertical="center" wrapText="1"/>
      <protection hidden="1"/>
    </xf>
    <xf numFmtId="166" fontId="5" fillId="12" borderId="1" xfId="0" applyNumberFormat="1" applyFont="1" applyFill="1" applyBorder="1" applyAlignment="1" applyProtection="1">
      <alignment horizontal="left" vertical="center" wrapText="1"/>
      <protection hidden="1"/>
    </xf>
    <xf numFmtId="0" fontId="5" fillId="12" borderId="1" xfId="0" applyFont="1" applyFill="1" applyBorder="1" applyAlignment="1" applyProtection="1">
      <alignment horizontal="center"/>
      <protection hidden="1"/>
    </xf>
    <xf numFmtId="166" fontId="15" fillId="12" borderId="1" xfId="0" applyNumberFormat="1" applyFont="1" applyFill="1" applyBorder="1" applyAlignment="1" applyProtection="1">
      <alignment horizontal="left" vertical="center" wrapText="1"/>
      <protection hidden="1"/>
    </xf>
    <xf numFmtId="166" fontId="16" fillId="10" borderId="1" xfId="0" applyNumberFormat="1" applyFont="1" applyFill="1" applyBorder="1" applyAlignment="1" applyProtection="1">
      <alignment horizontal="left" vertical="center" wrapText="1"/>
      <protection hidden="1"/>
    </xf>
    <xf numFmtId="0" fontId="16" fillId="12" borderId="1" xfId="0" applyFont="1" applyFill="1" applyBorder="1" applyAlignment="1" applyProtection="1">
      <alignment horizontal="left" vertical="center" wrapText="1"/>
      <protection hidden="1"/>
    </xf>
    <xf numFmtId="0" fontId="15" fillId="12" borderId="1" xfId="0" applyFont="1" applyFill="1" applyBorder="1" applyAlignment="1" applyProtection="1">
      <alignment horizontal="center" vertical="center"/>
      <protection hidden="1"/>
    </xf>
    <xf numFmtId="2" fontId="11" fillId="0" borderId="1" xfId="0" applyNumberFormat="1" applyFont="1" applyBorder="1" applyProtection="1">
      <protection hidden="1"/>
    </xf>
    <xf numFmtId="2" fontId="15" fillId="0" borderId="1" xfId="0" applyNumberFormat="1" applyFont="1" applyBorder="1" applyProtection="1">
      <protection hidden="1"/>
    </xf>
    <xf numFmtId="0" fontId="15" fillId="0" borderId="1" xfId="0" applyFont="1" applyBorder="1" applyProtection="1">
      <protection hidden="1"/>
    </xf>
    <xf numFmtId="0" fontId="14" fillId="12" borderId="1" xfId="0" applyFont="1" applyFill="1" applyBorder="1" applyAlignment="1" applyProtection="1">
      <alignment horizontal="left" vertical="center" wrapText="1"/>
      <protection hidden="1"/>
    </xf>
    <xf numFmtId="166" fontId="15" fillId="10" borderId="1" xfId="0" applyNumberFormat="1" applyFont="1" applyFill="1" applyBorder="1" applyAlignment="1" applyProtection="1">
      <alignment horizontal="left" vertical="center" wrapText="1"/>
      <protection hidden="1"/>
    </xf>
    <xf numFmtId="166" fontId="15" fillId="0" borderId="1" xfId="0" applyNumberFormat="1" applyFont="1" applyBorder="1" applyAlignment="1" applyProtection="1">
      <alignment horizontal="center" vertical="center" wrapText="1"/>
      <protection hidden="1"/>
    </xf>
    <xf numFmtId="0" fontId="18" fillId="0" borderId="1" xfId="0" applyFont="1" applyBorder="1" applyProtection="1">
      <protection hidden="1"/>
    </xf>
    <xf numFmtId="166" fontId="5" fillId="10" borderId="1" xfId="0" applyNumberFormat="1" applyFont="1" applyFill="1" applyBorder="1" applyAlignment="1" applyProtection="1">
      <alignment horizontal="left" vertical="center" wrapText="1"/>
      <protection hidden="1"/>
    </xf>
    <xf numFmtId="164" fontId="11" fillId="0" borderId="1" xfId="0" applyNumberFormat="1" applyFont="1" applyBorder="1" applyProtection="1">
      <protection hidden="1"/>
    </xf>
    <xf numFmtId="174" fontId="0" fillId="0" borderId="1" xfId="0" applyNumberFormat="1" applyBorder="1" applyProtection="1">
      <protection hidden="1"/>
    </xf>
    <xf numFmtId="43" fontId="11" fillId="0" borderId="1" xfId="0" applyNumberFormat="1" applyFont="1" applyBorder="1" applyProtection="1">
      <protection hidden="1"/>
    </xf>
    <xf numFmtId="171" fontId="11" fillId="0" borderId="1" xfId="0" applyNumberFormat="1" applyFont="1" applyBorder="1" applyProtection="1">
      <protection hidden="1"/>
    </xf>
    <xf numFmtId="8" fontId="11" fillId="0" borderId="1" xfId="0" applyNumberFormat="1" applyFont="1" applyBorder="1" applyProtection="1">
      <protection hidden="1"/>
    </xf>
    <xf numFmtId="171" fontId="0" fillId="0" borderId="1" xfId="0" applyNumberFormat="1" applyBorder="1" applyProtection="1">
      <protection hidden="1"/>
    </xf>
    <xf numFmtId="172" fontId="11" fillId="0" borderId="1" xfId="0" applyNumberFormat="1" applyFont="1" applyBorder="1" applyProtection="1">
      <protection hidden="1"/>
    </xf>
    <xf numFmtId="165" fontId="11" fillId="0" borderId="1" xfId="0" applyNumberFormat="1" applyFont="1" applyBorder="1" applyProtection="1">
      <protection hidden="1"/>
    </xf>
    <xf numFmtId="0" fontId="25" fillId="2" borderId="1" xfId="0" applyFont="1" applyFill="1" applyBorder="1" applyProtection="1">
      <protection hidden="1"/>
    </xf>
    <xf numFmtId="0" fontId="25" fillId="0" borderId="1" xfId="0" applyFont="1" applyBorder="1" applyProtection="1">
      <protection hidden="1"/>
    </xf>
    <xf numFmtId="0" fontId="26" fillId="0" borderId="1" xfId="0" applyFont="1" applyBorder="1" applyProtection="1">
      <protection hidden="1"/>
    </xf>
    <xf numFmtId="0" fontId="27" fillId="0" borderId="1" xfId="0" applyFont="1" applyBorder="1" applyProtection="1">
      <protection hidden="1"/>
    </xf>
    <xf numFmtId="168" fontId="26" fillId="0" borderId="1" xfId="0" applyNumberFormat="1" applyFont="1" applyBorder="1" applyProtection="1">
      <protection hidden="1"/>
    </xf>
    <xf numFmtId="0" fontId="28" fillId="0" borderId="0" xfId="0" applyFont="1" applyProtection="1">
      <protection locked="0"/>
    </xf>
    <xf numFmtId="9" fontId="11" fillId="6" borderId="1" xfId="3" applyFont="1" applyFill="1" applyBorder="1" applyAlignment="1" applyProtection="1">
      <alignment horizontal="right" vertical="center" wrapText="1"/>
      <protection locked="0" hidden="1"/>
    </xf>
    <xf numFmtId="170" fontId="11" fillId="6" borderId="1" xfId="0" applyNumberFormat="1" applyFont="1" applyFill="1" applyBorder="1" applyAlignment="1" applyProtection="1">
      <alignment horizontal="right" vertical="center" wrapText="1"/>
      <protection locked="0" hidden="1"/>
    </xf>
    <xf numFmtId="9" fontId="11" fillId="14" borderId="1" xfId="0" applyNumberFormat="1" applyFont="1" applyFill="1" applyBorder="1" applyAlignment="1" applyProtection="1">
      <alignment horizontal="right" vertical="center"/>
      <protection locked="0" hidden="1"/>
    </xf>
    <xf numFmtId="0" fontId="11" fillId="14" borderId="1" xfId="0" applyFont="1" applyFill="1" applyBorder="1" applyAlignment="1" applyProtection="1">
      <alignment horizontal="right" vertical="center"/>
      <protection locked="0" hidden="1"/>
    </xf>
    <xf numFmtId="0" fontId="11" fillId="15" borderId="1" xfId="0" applyFont="1" applyFill="1" applyBorder="1" applyProtection="1">
      <protection locked="0" hidden="1"/>
    </xf>
    <xf numFmtId="173" fontId="11" fillId="4" borderId="1" xfId="1" applyNumberFormat="1" applyFont="1" applyFill="1" applyBorder="1" applyAlignment="1" applyProtection="1">
      <alignment horizontal="center" vertical="center"/>
      <protection hidden="1"/>
    </xf>
    <xf numFmtId="173" fontId="11" fillId="14" borderId="1" xfId="1" applyNumberFormat="1" applyFont="1" applyFill="1" applyBorder="1" applyAlignment="1" applyProtection="1">
      <alignment horizontal="center" vertical="center"/>
      <protection locked="0" hidden="1"/>
    </xf>
    <xf numFmtId="170" fontId="11" fillId="11" borderId="1" xfId="0" applyNumberFormat="1" applyFont="1" applyFill="1" applyBorder="1" applyAlignment="1" applyProtection="1">
      <alignment horizontal="right" vertical="center" wrapText="1"/>
      <protection hidden="1"/>
    </xf>
    <xf numFmtId="170" fontId="5" fillId="11" borderId="1" xfId="0" applyNumberFormat="1" applyFont="1" applyFill="1" applyBorder="1" applyAlignment="1" applyProtection="1">
      <alignment horizontal="right"/>
      <protection hidden="1"/>
    </xf>
    <xf numFmtId="170" fontId="15" fillId="11" borderId="1" xfId="0" applyNumberFormat="1" applyFont="1" applyFill="1" applyBorder="1" applyAlignment="1" applyProtection="1">
      <alignment horizontal="right" vertical="center" wrapText="1"/>
      <protection hidden="1"/>
    </xf>
    <xf numFmtId="170" fontId="15" fillId="11" borderId="1" xfId="0" applyNumberFormat="1" applyFont="1" applyFill="1" applyBorder="1" applyAlignment="1" applyProtection="1">
      <alignment horizontal="right"/>
      <protection hidden="1"/>
    </xf>
    <xf numFmtId="166" fontId="11" fillId="11" borderId="1" xfId="0" applyNumberFormat="1" applyFont="1" applyFill="1" applyBorder="1" applyAlignment="1" applyProtection="1">
      <alignment horizontal="center" vertical="center" wrapText="1"/>
      <protection hidden="1"/>
    </xf>
    <xf numFmtId="166" fontId="15" fillId="11" borderId="1" xfId="0" applyNumberFormat="1" applyFont="1" applyFill="1" applyBorder="1" applyProtection="1">
      <protection hidden="1"/>
    </xf>
    <xf numFmtId="169" fontId="11" fillId="11" borderId="1" xfId="0" applyNumberFormat="1" applyFont="1" applyFill="1" applyBorder="1" applyProtection="1">
      <protection hidden="1"/>
    </xf>
    <xf numFmtId="0" fontId="11" fillId="11" borderId="1" xfId="0" applyFont="1" applyFill="1" applyBorder="1" applyAlignment="1" applyProtection="1">
      <alignment horizontal="right"/>
      <protection hidden="1"/>
    </xf>
    <xf numFmtId="0" fontId="0" fillId="11" borderId="1" xfId="0" applyFill="1" applyBorder="1" applyAlignment="1" applyProtection="1">
      <alignment horizontal="right"/>
      <protection hidden="1"/>
    </xf>
    <xf numFmtId="169" fontId="15" fillId="16" borderId="1" xfId="0" applyNumberFormat="1" applyFont="1" applyFill="1" applyBorder="1" applyAlignment="1" applyProtection="1">
      <alignment vertical="center"/>
      <protection hidden="1"/>
    </xf>
    <xf numFmtId="0" fontId="15" fillId="16" borderId="1" xfId="0" applyFont="1" applyFill="1" applyBorder="1" applyAlignment="1" applyProtection="1">
      <alignment horizontal="left" vertical="center" wrapText="1"/>
      <protection hidden="1"/>
    </xf>
    <xf numFmtId="169" fontId="5" fillId="11" borderId="1" xfId="0" applyNumberFormat="1" applyFont="1" applyFill="1" applyBorder="1" applyProtection="1">
      <protection hidden="1"/>
    </xf>
    <xf numFmtId="0" fontId="17" fillId="11" borderId="1" xfId="0" applyFont="1" applyFill="1" applyBorder="1" applyAlignment="1" applyProtection="1">
      <alignment horizontal="right"/>
      <protection hidden="1"/>
    </xf>
    <xf numFmtId="169" fontId="5" fillId="11" borderId="1" xfId="0" applyNumberFormat="1" applyFont="1" applyFill="1" applyBorder="1" applyAlignment="1" applyProtection="1">
      <alignment horizontal="right"/>
      <protection hidden="1"/>
    </xf>
    <xf numFmtId="167" fontId="11" fillId="15" borderId="1" xfId="3" applyNumberFormat="1" applyFont="1" applyFill="1" applyBorder="1" applyProtection="1">
      <protection locked="0" hidden="1"/>
    </xf>
    <xf numFmtId="0" fontId="29" fillId="15" borderId="1" xfId="0" applyFont="1" applyFill="1" applyBorder="1" applyProtection="1">
      <protection hidden="1"/>
    </xf>
    <xf numFmtId="0" fontId="30" fillId="0" borderId="1" xfId="0" applyFont="1" applyBorder="1" applyAlignment="1" applyProtection="1">
      <alignment horizontal="left" wrapText="1"/>
      <protection hidden="1"/>
    </xf>
    <xf numFmtId="0" fontId="29" fillId="5" borderId="1" xfId="0" applyFont="1" applyFill="1" applyBorder="1" applyProtection="1">
      <protection hidden="1"/>
    </xf>
    <xf numFmtId="167" fontId="11" fillId="14" borderId="1" xfId="0" applyNumberFormat="1" applyFont="1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/>
      <protection hidden="1"/>
    </xf>
    <xf numFmtId="166" fontId="0" fillId="11" borderId="1" xfId="0" applyNumberFormat="1" applyFill="1" applyBorder="1" applyProtection="1">
      <protection hidden="1"/>
    </xf>
    <xf numFmtId="166" fontId="0" fillId="9" borderId="1" xfId="0" applyNumberFormat="1" applyFill="1" applyBorder="1" applyProtection="1">
      <protection hidden="1"/>
    </xf>
    <xf numFmtId="166" fontId="4" fillId="11" borderId="1" xfId="0" applyNumberFormat="1" applyFont="1" applyFill="1" applyBorder="1" applyProtection="1">
      <protection hidden="1"/>
    </xf>
    <xf numFmtId="166" fontId="11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66" fontId="2" fillId="10" borderId="1" xfId="0" applyNumberFormat="1" applyFont="1" applyFill="1" applyBorder="1" applyAlignment="1" applyProtection="1">
      <alignment horizontal="left" vertical="center" wrapText="1"/>
      <protection hidden="1"/>
    </xf>
    <xf numFmtId="167" fontId="11" fillId="14" borderId="1" xfId="3" applyNumberFormat="1" applyFont="1" applyFill="1" applyBorder="1" applyAlignment="1" applyProtection="1">
      <alignment horizontal="right" vertical="center"/>
      <protection locked="0" hidden="1"/>
    </xf>
    <xf numFmtId="0" fontId="29" fillId="17" borderId="1" xfId="0" applyFont="1" applyFill="1" applyBorder="1" applyProtection="1">
      <protection hidden="1"/>
    </xf>
    <xf numFmtId="170" fontId="15" fillId="6" borderId="1" xfId="0" applyNumberFormat="1" applyFont="1" applyFill="1" applyBorder="1" applyAlignment="1" applyProtection="1">
      <alignment horizontal="right" vertical="center" wrapText="1"/>
      <protection locked="0" hidden="1"/>
    </xf>
    <xf numFmtId="0" fontId="1" fillId="10" borderId="1" xfId="0" applyFont="1" applyFill="1" applyBorder="1" applyAlignment="1" applyProtection="1">
      <alignment horizontal="center" vertical="center"/>
      <protection hidden="1"/>
    </xf>
    <xf numFmtId="166" fontId="5" fillId="10" borderId="1" xfId="0" applyNumberFormat="1" applyFont="1" applyFill="1" applyBorder="1" applyAlignment="1" applyProtection="1">
      <alignment horizontal="center" vertical="center" wrapText="1"/>
      <protection hidden="1"/>
    </xf>
    <xf numFmtId="167" fontId="11" fillId="14" borderId="1" xfId="0" applyNumberFormat="1" applyFont="1" applyFill="1" applyBorder="1" applyAlignment="1" applyProtection="1">
      <alignment horizontal="right" vertical="center"/>
      <protection locked="0" hidden="1"/>
    </xf>
    <xf numFmtId="0" fontId="23" fillId="0" borderId="1" xfId="2" applyFont="1" applyAlignment="1" applyProtection="1">
      <alignment wrapText="1"/>
      <protection hidden="1"/>
    </xf>
    <xf numFmtId="0" fontId="12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9" fillId="0" borderId="1" xfId="0" applyFont="1" applyBorder="1" applyAlignment="1" applyProtection="1">
      <alignment horizontal="center"/>
      <protection hidden="1"/>
    </xf>
    <xf numFmtId="0" fontId="21" fillId="0" borderId="1" xfId="0" applyFont="1" applyBorder="1" applyProtection="1">
      <protection hidden="1"/>
    </xf>
    <xf numFmtId="0" fontId="10" fillId="0" borderId="1" xfId="0" applyFont="1" applyBorder="1" applyProtection="1">
      <protection hidden="1"/>
    </xf>
    <xf numFmtId="0" fontId="30" fillId="0" borderId="1" xfId="0" applyFont="1" applyBorder="1" applyAlignment="1" applyProtection="1">
      <alignment horizontal="left" wrapText="1"/>
      <protection hidden="1"/>
    </xf>
  </cellXfs>
  <cellStyles count="4">
    <cellStyle name="Comma" xfId="1" builtinId="3"/>
    <cellStyle name="Normal" xfId="0" builtinId="0"/>
    <cellStyle name="Normal 2" xfId="2" xr:uid="{0F07DA4B-84C8-4497-807E-6E87D4BF7330}"/>
    <cellStyle name="Per cent" xfId="3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rgb="FFDEEAF6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 defaultTableStyle="TableStyleMedium2" defaultPivotStyle="PivotStyleLight16">
    <tableStyle name="Rent &amp; EMI schedule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1695451</xdr:colOff>
      <xdr:row>0</xdr:row>
      <xdr:rowOff>0</xdr:rowOff>
    </xdr:from>
    <xdr:to>
      <xdr:col>6</xdr:col>
      <xdr:colOff>3724275</xdr:colOff>
      <xdr:row>5</xdr:row>
      <xdr:rowOff>150211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3342FC-26B8-DF19-D911-FDDEC963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276" y="0"/>
          <a:ext cx="2028824" cy="115932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U364" headerRowCount="0">
  <tableColumns count="20">
    <tableColumn id="1" xr3:uid="{00000000-0010-0000-0000-000001000000}" name="Column1"/>
    <tableColumn id="2" xr3:uid="{00000000-0010-0000-0000-000002000000}" name="Column2"/>
    <tableColumn id="9" xr3:uid="{3EFC378D-092E-9744-BEAC-1EE7AA3002DD}" name="Column9" dataDxfId="12"/>
    <tableColumn id="8" xr3:uid="{FC1635C8-CBF7-5D4C-A4E8-D5AD1CDE27F7}" name="Column8" dataDxfId="11"/>
    <tableColumn id="10" xr3:uid="{06BBCB50-15CF-E241-88C3-A3374108F6C6}" name="Column10" dataDxfId="10"/>
    <tableColumn id="12" xr3:uid="{AFF1EDFB-DAB0-9445-A2A3-9589381B2282}" name="Column12" dataDxfId="9"/>
    <tableColumn id="14" xr3:uid="{56147D0F-A0AB-7844-BC2C-A239F7DF93E4}" name="Column14" dataDxfId="8"/>
    <tableColumn id="13" xr3:uid="{7597C10B-04EC-C340-9DA6-B84EA5465DDC}" name="Column13" dataDxfId="7"/>
    <tableColumn id="11" xr3:uid="{9E36F142-225A-834B-BAD1-6BF5CA0AB3FF}" name="Column11" dataDxfId="6"/>
    <tableColumn id="15" xr3:uid="{A8A7FB53-615D-9A48-ADE7-B96258027026}" name="Column15" dataDxfId="5"/>
    <tableColumn id="16" xr3:uid="{8750F64B-8810-224E-AA88-11457F9400ED}" name="Column16" dataDxfId="4"/>
    <tableColumn id="17" xr3:uid="{1F71D6A9-8F04-CF4F-AC1A-0E96D1EC8EEF}" name="Column17" dataDxfId="3"/>
    <tableColumn id="18" xr3:uid="{6EDACFA6-747A-F648-9404-CD2C98056A3F}" name="Column18" dataDxfId="2"/>
    <tableColumn id="19" xr3:uid="{6C6EED32-BFD3-7348-8CE4-FA6E411E461D}" name="Column19" dataDxfId="1"/>
    <tableColumn id="20" xr3:uid="{0B2B5FC3-D300-5D4D-9751-82F23886E800}" name="Column20" dataDxfId="0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Rent &amp; EMI schedu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pitalmind.in/2020/06/how-to-think-about-asset-allocation-in-india-part-1/" TargetMode="External"/><Relationship Id="rId1" Type="http://schemas.openxmlformats.org/officeDocument/2006/relationships/hyperlink" Target="https://www.capitalmind.in/2020/06/how-to-think-about-asset-allocation-in-india-part-1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53"/>
  <sheetViews>
    <sheetView showGridLines="0" tabSelected="1" topLeftCell="J11" zoomScale="150" zoomScaleNormal="150" zoomScalePageLayoutView="30" workbookViewId="0">
      <selection activeCell="L21" sqref="L21"/>
    </sheetView>
  </sheetViews>
  <sheetFormatPr baseColWidth="10" defaultColWidth="14.5" defaultRowHeight="15" x14ac:dyDescent="0.2"/>
  <cols>
    <col min="1" max="1" width="1.5" style="16" customWidth="1"/>
    <col min="2" max="2" width="12" style="16" customWidth="1"/>
    <col min="3" max="3" width="71" style="16" customWidth="1"/>
    <col min="4" max="4" width="22" style="16" customWidth="1"/>
    <col min="5" max="5" width="3.1640625" style="16" customWidth="1"/>
    <col min="6" max="6" width="9.1640625" style="16" customWidth="1"/>
    <col min="7" max="7" width="70.1640625" style="16" customWidth="1"/>
    <col min="8" max="8" width="16.5" style="16" customWidth="1"/>
    <col min="9" max="9" width="8.5" style="60" customWidth="1"/>
    <col min="10" max="10" width="42" style="16" customWidth="1"/>
    <col min="11" max="11" width="36" style="16" customWidth="1"/>
    <col min="12" max="12" width="23.5" style="16" customWidth="1"/>
    <col min="13" max="13" width="44" style="16" customWidth="1"/>
    <col min="14" max="15" width="27.6640625" style="16" customWidth="1"/>
    <col min="16" max="16" width="10.1640625" style="16" bestFit="1" customWidth="1"/>
    <col min="17" max="27" width="8.6640625" style="16" customWidth="1"/>
    <col min="28" max="16384" width="14.5" style="16"/>
  </cols>
  <sheetData>
    <row r="2" spans="2:14" ht="16" customHeight="1" x14ac:dyDescent="0.25">
      <c r="B2" s="87"/>
      <c r="C2" s="88" t="s">
        <v>85</v>
      </c>
      <c r="D2" s="10"/>
      <c r="E2" s="11"/>
      <c r="F2" s="11"/>
      <c r="G2" s="11"/>
      <c r="H2" s="12"/>
      <c r="I2" s="59"/>
    </row>
    <row r="3" spans="2:14" ht="15" customHeight="1" x14ac:dyDescent="0.25">
      <c r="B3" s="89"/>
      <c r="C3" s="88" t="s">
        <v>86</v>
      </c>
      <c r="D3" s="10"/>
      <c r="E3" s="11"/>
      <c r="F3" s="11"/>
      <c r="G3" s="11"/>
      <c r="H3" s="12"/>
      <c r="I3" s="59"/>
    </row>
    <row r="4" spans="2:14" ht="16" x14ac:dyDescent="0.2">
      <c r="C4" s="13"/>
      <c r="D4" s="10"/>
      <c r="E4" s="11"/>
      <c r="F4" s="11"/>
      <c r="G4" s="11"/>
      <c r="H4" s="12"/>
      <c r="I4" s="59"/>
      <c r="J4" s="57"/>
    </row>
    <row r="5" spans="2:14" ht="20" x14ac:dyDescent="0.25">
      <c r="C5" s="13"/>
      <c r="D5" s="10"/>
      <c r="E5" s="11"/>
      <c r="F5" s="11"/>
      <c r="G5" s="11"/>
      <c r="M5" s="14"/>
      <c r="N5" s="15"/>
    </row>
    <row r="6" spans="2:14" ht="16" x14ac:dyDescent="0.2">
      <c r="C6" s="17" t="s">
        <v>46</v>
      </c>
      <c r="D6" s="65">
        <v>0.3</v>
      </c>
      <c r="G6" s="103" t="s">
        <v>84</v>
      </c>
      <c r="H6" s="103"/>
      <c r="L6" s="19" t="s">
        <v>4</v>
      </c>
      <c r="M6" s="20"/>
      <c r="N6" s="21"/>
    </row>
    <row r="7" spans="2:14" ht="15.5" customHeight="1" x14ac:dyDescent="0.2">
      <c r="G7" s="103"/>
      <c r="H7" s="103"/>
      <c r="M7" s="20"/>
      <c r="N7" s="22"/>
    </row>
    <row r="8" spans="2:14" ht="20" x14ac:dyDescent="0.25">
      <c r="C8" s="106" t="s">
        <v>82</v>
      </c>
      <c r="D8" s="107"/>
      <c r="G8" s="106" t="s">
        <v>0</v>
      </c>
      <c r="H8" s="108"/>
      <c r="J8" s="106" t="s">
        <v>1</v>
      </c>
      <c r="K8" s="106"/>
      <c r="M8" s="20"/>
      <c r="N8" s="22"/>
    </row>
    <row r="9" spans="2:14" ht="17" x14ac:dyDescent="0.2">
      <c r="B9" s="23"/>
      <c r="C9" s="24" t="s">
        <v>2</v>
      </c>
      <c r="D9" s="66">
        <v>10000000</v>
      </c>
      <c r="E9" s="25"/>
      <c r="F9" s="23"/>
      <c r="G9" s="26" t="s">
        <v>3</v>
      </c>
      <c r="H9" s="65">
        <v>0.05</v>
      </c>
      <c r="I9" s="61"/>
      <c r="J9" s="18" t="s">
        <v>75</v>
      </c>
      <c r="K9" s="90">
        <v>0.12</v>
      </c>
      <c r="L9" s="64" t="s">
        <v>4</v>
      </c>
      <c r="M9" s="20"/>
      <c r="N9" s="22"/>
    </row>
    <row r="10" spans="2:14" ht="16" x14ac:dyDescent="0.2">
      <c r="B10" s="23"/>
      <c r="C10" s="100" t="s">
        <v>90</v>
      </c>
      <c r="D10" s="66">
        <v>1000000</v>
      </c>
      <c r="E10" s="25"/>
      <c r="F10" s="23"/>
      <c r="G10" s="24" t="s">
        <v>7</v>
      </c>
      <c r="H10" s="67">
        <v>7.0000000000000007E-2</v>
      </c>
      <c r="I10" s="61"/>
      <c r="M10" s="20"/>
      <c r="N10" s="22"/>
    </row>
    <row r="11" spans="2:14" ht="20" x14ac:dyDescent="0.25">
      <c r="B11" s="23"/>
      <c r="C11" s="24" t="s">
        <v>5</v>
      </c>
      <c r="D11" s="67">
        <v>0.2</v>
      </c>
      <c r="E11" s="28"/>
      <c r="F11" s="23"/>
      <c r="G11" s="29" t="s">
        <v>60</v>
      </c>
      <c r="H11" s="67">
        <v>0.05</v>
      </c>
      <c r="I11" s="61"/>
      <c r="J11" s="106" t="s">
        <v>78</v>
      </c>
      <c r="K11" s="108"/>
      <c r="L11" s="23"/>
      <c r="M11" s="20"/>
      <c r="N11" s="22"/>
    </row>
    <row r="12" spans="2:14" ht="17" x14ac:dyDescent="0.2">
      <c r="B12" s="23"/>
      <c r="C12" s="24" t="s">
        <v>6</v>
      </c>
      <c r="D12" s="102">
        <v>8.5000000000000006E-2</v>
      </c>
      <c r="E12" s="25"/>
      <c r="F12" s="23"/>
      <c r="G12" s="31" t="s">
        <v>9</v>
      </c>
      <c r="H12" s="97">
        <v>0.03</v>
      </c>
      <c r="J12" s="27" t="s">
        <v>79</v>
      </c>
      <c r="K12" s="70">
        <f>150000*D14</f>
        <v>150000</v>
      </c>
      <c r="L12" s="23"/>
      <c r="M12" s="20"/>
      <c r="N12" s="22"/>
    </row>
    <row r="13" spans="2:14" ht="17" x14ac:dyDescent="0.2">
      <c r="B13" s="23"/>
      <c r="C13" s="24" t="s">
        <v>8</v>
      </c>
      <c r="D13" s="68">
        <v>20</v>
      </c>
      <c r="E13" s="28"/>
      <c r="F13" s="23"/>
      <c r="G13" s="29" t="s">
        <v>53</v>
      </c>
      <c r="H13" s="86">
        <v>5.0000000000000001E-3</v>
      </c>
      <c r="J13" s="27" t="s">
        <v>80</v>
      </c>
      <c r="K13" s="71">
        <v>100000</v>
      </c>
      <c r="L13" s="23"/>
      <c r="M13" s="23"/>
    </row>
    <row r="14" spans="2:14" ht="17" x14ac:dyDescent="0.2">
      <c r="B14" s="23"/>
      <c r="C14" s="30" t="s">
        <v>83</v>
      </c>
      <c r="D14" s="69">
        <v>1</v>
      </c>
      <c r="E14" s="23"/>
      <c r="F14" s="23"/>
      <c r="I14" s="64"/>
      <c r="J14" s="27" t="s">
        <v>81</v>
      </c>
      <c r="K14" s="70">
        <f>K12-K13</f>
        <v>50000</v>
      </c>
      <c r="M14" s="23"/>
      <c r="N14" s="23"/>
    </row>
    <row r="15" spans="2:14" s="60" customFormat="1" ht="16" x14ac:dyDescent="0.2">
      <c r="B15" s="61"/>
      <c r="E15" s="61"/>
      <c r="F15" s="61"/>
      <c r="L15" s="61"/>
      <c r="M15" s="61"/>
      <c r="N15" s="61"/>
    </row>
    <row r="16" spans="2:14" s="60" customFormat="1" ht="16" x14ac:dyDescent="0.2">
      <c r="B16" s="61"/>
      <c r="C16" s="61"/>
      <c r="D16" s="61"/>
      <c r="E16" s="63"/>
      <c r="F16" s="61"/>
      <c r="G16" s="61"/>
      <c r="H16" s="61"/>
      <c r="I16" s="61"/>
      <c r="J16" s="61"/>
      <c r="K16" s="61"/>
      <c r="L16" s="61"/>
      <c r="M16" s="61"/>
      <c r="N16" s="61"/>
    </row>
    <row r="17" spans="2:27" ht="21" x14ac:dyDescent="0.25">
      <c r="B17" s="104" t="s">
        <v>10</v>
      </c>
      <c r="C17" s="104"/>
      <c r="D17" s="104"/>
      <c r="E17" s="23"/>
      <c r="F17" s="104" t="s">
        <v>11</v>
      </c>
      <c r="G17" s="108"/>
      <c r="H17" s="108"/>
      <c r="I17" s="61"/>
      <c r="J17" s="104" t="s">
        <v>69</v>
      </c>
      <c r="K17" s="108"/>
      <c r="L17" s="108"/>
      <c r="M17" s="108"/>
      <c r="N17" s="23"/>
    </row>
    <row r="18" spans="2:27" ht="17" x14ac:dyDescent="0.2">
      <c r="B18" s="32" t="s">
        <v>77</v>
      </c>
      <c r="C18" s="32" t="s">
        <v>13</v>
      </c>
      <c r="D18" s="32" t="s">
        <v>14</v>
      </c>
      <c r="E18" s="23"/>
      <c r="F18" s="32" t="s">
        <v>12</v>
      </c>
      <c r="G18" s="32" t="s">
        <v>13</v>
      </c>
      <c r="H18" s="32" t="s">
        <v>14</v>
      </c>
      <c r="I18" s="61"/>
      <c r="J18" s="32" t="s">
        <v>15</v>
      </c>
      <c r="K18" s="32" t="s">
        <v>70</v>
      </c>
      <c r="L18" s="32" t="s">
        <v>71</v>
      </c>
      <c r="M18" s="32" t="s">
        <v>16</v>
      </c>
      <c r="N18" s="23"/>
    </row>
    <row r="19" spans="2:27" ht="17" x14ac:dyDescent="0.2">
      <c r="B19" s="101" t="s">
        <v>17</v>
      </c>
      <c r="C19" s="33" t="s">
        <v>2</v>
      </c>
      <c r="D19" s="72">
        <f>D9</f>
        <v>10000000</v>
      </c>
      <c r="E19" s="23"/>
      <c r="F19" s="101" t="s">
        <v>17</v>
      </c>
      <c r="G19" s="35" t="s">
        <v>18</v>
      </c>
      <c r="H19" s="95">
        <f>H12*D9/12</f>
        <v>25000</v>
      </c>
      <c r="I19" s="61"/>
      <c r="J19" s="36" t="s">
        <v>19</v>
      </c>
      <c r="K19" s="78">
        <f>(D28)/(10^7)</f>
        <v>3.869684462486179</v>
      </c>
      <c r="L19" s="79" t="s">
        <v>20</v>
      </c>
      <c r="M19" s="80" t="s">
        <v>20</v>
      </c>
      <c r="N19" s="23"/>
    </row>
    <row r="20" spans="2:27" ht="17" x14ac:dyDescent="0.2">
      <c r="B20" s="101" t="s">
        <v>21</v>
      </c>
      <c r="C20" s="33" t="s">
        <v>22</v>
      </c>
      <c r="D20" s="72">
        <f>D11*D9</f>
        <v>2000000</v>
      </c>
      <c r="E20" s="34"/>
      <c r="F20" s="101" t="s">
        <v>21</v>
      </c>
      <c r="G20" s="37" t="s">
        <v>59</v>
      </c>
      <c r="H20" s="95">
        <v>3000</v>
      </c>
      <c r="I20" s="61"/>
      <c r="J20" s="38" t="s">
        <v>23</v>
      </c>
      <c r="K20" s="78">
        <f>(D31)/(10^7)</f>
        <v>0.53233927934882153</v>
      </c>
      <c r="L20" s="78">
        <f>H26/10^7</f>
        <v>6.2273210086801756</v>
      </c>
      <c r="M20" s="80" t="s">
        <v>20</v>
      </c>
    </row>
    <row r="21" spans="2:27" ht="17" x14ac:dyDescent="0.2">
      <c r="B21" s="101" t="s">
        <v>24</v>
      </c>
      <c r="C21" s="33" t="s">
        <v>25</v>
      </c>
      <c r="D21" s="72">
        <f>D19-D20</f>
        <v>8000000</v>
      </c>
      <c r="E21" s="34"/>
      <c r="F21" s="101" t="s">
        <v>24</v>
      </c>
      <c r="G21" s="39" t="s">
        <v>26</v>
      </c>
      <c r="H21" s="99">
        <f>SUM(H19:H20)</f>
        <v>28000</v>
      </c>
      <c r="J21" s="38" t="s">
        <v>76</v>
      </c>
      <c r="K21" s="78">
        <f>-D27/10^7</f>
        <v>-2.0315503785762674</v>
      </c>
      <c r="L21" s="78">
        <f>-H22/10^7</f>
        <v>-1.1110160578570507</v>
      </c>
      <c r="M21" s="80"/>
      <c r="N21" s="23"/>
      <c r="P21" s="25"/>
    </row>
    <row r="22" spans="2:27" ht="24" customHeight="1" x14ac:dyDescent="0.2">
      <c r="B22" s="101" t="s">
        <v>28</v>
      </c>
      <c r="C22" s="40" t="s">
        <v>29</v>
      </c>
      <c r="D22" s="72">
        <f>-1*PMT(D12/12,D13*12,D21)</f>
        <v>69425.85866924272</v>
      </c>
      <c r="F22" s="101" t="s">
        <v>28</v>
      </c>
      <c r="G22" s="41" t="s">
        <v>65</v>
      </c>
      <c r="H22" s="76">
        <f>SUM('Backend Engine'!Q5:Q34)</f>
        <v>11110160.578570507</v>
      </c>
      <c r="I22" s="61"/>
      <c r="J22" s="42" t="s">
        <v>27</v>
      </c>
      <c r="K22" s="81">
        <f>SUM(K19:K21)</f>
        <v>2.3704733632587329</v>
      </c>
      <c r="L22" s="81">
        <f>SUM(L19:L21)</f>
        <v>5.1163049508231246</v>
      </c>
      <c r="M22" s="82" t="str">
        <f>IF(L22&gt;K22,"Staying on Rent is better by ","Buying a house is better by ")&amp;ROUND(IF(K22&gt;L22,K22-L22,L22-K22),2)&amp;" Crores"</f>
        <v>Staying on Rent is better by 2.75 Crores</v>
      </c>
    </row>
    <row r="23" spans="2:27" ht="17" x14ac:dyDescent="0.2">
      <c r="B23" s="101" t="s">
        <v>30</v>
      </c>
      <c r="C23" s="40" t="s">
        <v>31</v>
      </c>
      <c r="D23" s="72">
        <f>-1*CUMIPMT(D12/12,D13*12,D21,1,D13*12,0)</f>
        <v>8662206.080618253</v>
      </c>
      <c r="E23" s="34"/>
      <c r="F23" s="101" t="s">
        <v>30</v>
      </c>
      <c r="G23" s="41" t="s">
        <v>67</v>
      </c>
      <c r="H23" s="76">
        <f>(D20+D10)*(1+K9)^D13</f>
        <v>28938879.279824842</v>
      </c>
      <c r="I23" s="61"/>
      <c r="J23" s="25"/>
      <c r="K23" s="43"/>
      <c r="L23" s="44"/>
      <c r="M23" s="44"/>
      <c r="N23" s="45"/>
    </row>
    <row r="24" spans="2:27" ht="21" x14ac:dyDescent="0.25">
      <c r="B24" s="101" t="s">
        <v>32</v>
      </c>
      <c r="C24" s="33" t="s">
        <v>33</v>
      </c>
      <c r="D24" s="72">
        <f>D23+D21</f>
        <v>16662206.080618253</v>
      </c>
      <c r="E24" s="34"/>
      <c r="F24" s="101" t="s">
        <v>32</v>
      </c>
      <c r="G24" s="41" t="s">
        <v>89</v>
      </c>
      <c r="H24" s="76">
        <f>SUMIF('Backend Engine'!S5:S34,"&gt;0",'Backend Engine'!S5:S34)</f>
        <v>26477199.32924436</v>
      </c>
      <c r="I24" s="61"/>
      <c r="J24" s="104" t="s">
        <v>87</v>
      </c>
      <c r="K24" s="105"/>
      <c r="L24" s="105"/>
      <c r="M24" s="105"/>
      <c r="N24" s="23"/>
    </row>
    <row r="25" spans="2:27" ht="17" x14ac:dyDescent="0.2">
      <c r="B25" s="101" t="s">
        <v>34</v>
      </c>
      <c r="C25" s="33" t="s">
        <v>35</v>
      </c>
      <c r="D25" s="72">
        <f>D24+D20</f>
        <v>18662206.080618255</v>
      </c>
      <c r="E25" s="34"/>
      <c r="F25" s="101" t="s">
        <v>34</v>
      </c>
      <c r="G25" s="41" t="s">
        <v>68</v>
      </c>
      <c r="H25" s="76">
        <f>SUM('Backend Engine'!U5:U34)</f>
        <v>6857131.4777325569</v>
      </c>
      <c r="I25" s="61"/>
      <c r="J25" s="32" t="s">
        <v>15</v>
      </c>
      <c r="K25" s="32" t="s">
        <v>70</v>
      </c>
      <c r="L25" s="32" t="s">
        <v>11</v>
      </c>
      <c r="M25" s="32" t="s">
        <v>16</v>
      </c>
      <c r="N25" s="23"/>
    </row>
    <row r="26" spans="2:27" ht="17" x14ac:dyDescent="0.2">
      <c r="B26" s="101" t="s">
        <v>36</v>
      </c>
      <c r="C26" s="40" t="s">
        <v>55</v>
      </c>
      <c r="D26" s="73">
        <f>SUM('Backend Engine'!O5:O34)</f>
        <v>1653297.7051444205</v>
      </c>
      <c r="E26" s="23"/>
      <c r="F26" s="101" t="s">
        <v>36</v>
      </c>
      <c r="G26" s="46" t="s">
        <v>73</v>
      </c>
      <c r="H26" s="76">
        <f>SUM(H23:H25)</f>
        <v>62273210.086801752</v>
      </c>
      <c r="I26" s="61"/>
      <c r="J26" s="36" t="s">
        <v>19</v>
      </c>
      <c r="K26" s="78">
        <f>K19*(1+H10)^10</f>
        <v>7.6122550426620297</v>
      </c>
      <c r="L26" s="79" t="s">
        <v>20</v>
      </c>
      <c r="M26" s="80" t="s">
        <v>20</v>
      </c>
      <c r="N26" s="23"/>
    </row>
    <row r="27" spans="2:27" ht="17" x14ac:dyDescent="0.2">
      <c r="B27" s="101" t="s">
        <v>37</v>
      </c>
      <c r="C27" s="47" t="s">
        <v>64</v>
      </c>
      <c r="D27" s="74">
        <f>SUM(D25:D26)</f>
        <v>20315503.785762675</v>
      </c>
      <c r="E27" s="48"/>
      <c r="F27" s="101" t="s">
        <v>37</v>
      </c>
      <c r="G27" s="46" t="s">
        <v>74</v>
      </c>
      <c r="H27" s="77">
        <f>H26-H22</f>
        <v>51163049.508231245</v>
      </c>
      <c r="I27" s="62"/>
      <c r="J27" s="38" t="s">
        <v>23</v>
      </c>
      <c r="K27" s="83">
        <f>K20*(1+K9)^10</f>
        <v>1.6533649969967859</v>
      </c>
      <c r="L27" s="83">
        <f>L20*(1+K9)^10</f>
        <v>19.341113797593589</v>
      </c>
      <c r="M27" s="84" t="s">
        <v>20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2:27" ht="17" x14ac:dyDescent="0.2">
      <c r="B28" s="101" t="s">
        <v>38</v>
      </c>
      <c r="C28" s="47" t="s">
        <v>61</v>
      </c>
      <c r="D28" s="75">
        <f>D9*(1+H10)^D13</f>
        <v>38696844.624861792</v>
      </c>
      <c r="E28" s="34"/>
      <c r="F28" s="23"/>
      <c r="G28" s="23"/>
      <c r="H28" s="23"/>
      <c r="I28" s="61"/>
      <c r="J28" s="38" t="s">
        <v>72</v>
      </c>
      <c r="K28" s="85" t="s">
        <v>20</v>
      </c>
      <c r="L28" s="78">
        <f>FV(H9/12,10*12,(H21)*(1+H9)^(D13))/10^7+L21</f>
        <v>-2.2646443818248549</v>
      </c>
      <c r="M28" s="80" t="s">
        <v>20</v>
      </c>
      <c r="N28" s="23"/>
    </row>
    <row r="29" spans="2:27" ht="20" customHeight="1" x14ac:dyDescent="0.2">
      <c r="B29" s="101" t="s">
        <v>39</v>
      </c>
      <c r="C29" s="50" t="s">
        <v>66</v>
      </c>
      <c r="D29" s="72">
        <f>SUM('Backend Engine'!N5:N34)</f>
        <v>5307447.8318729131</v>
      </c>
      <c r="E29" s="34"/>
      <c r="F29" s="51"/>
      <c r="G29" s="23"/>
      <c r="H29" s="23"/>
      <c r="I29" s="61"/>
      <c r="J29" s="42" t="s">
        <v>27</v>
      </c>
      <c r="K29" s="81">
        <f>SUM(K26:K27)</f>
        <v>9.2656200396588151</v>
      </c>
      <c r="L29" s="81">
        <f>SUM(L26:L28)</f>
        <v>17.076469415768734</v>
      </c>
      <c r="M29" s="82" t="str">
        <f>IF(L29&gt;K29,"Staying on Rent is better by ","Buying a house is better by ")&amp;ROUND(IF(K29&gt;L29,K29-L29,L29-K29),2)&amp;" Crores"</f>
        <v>Staying on Rent is better by 7.81 Crores</v>
      </c>
      <c r="N29" s="45"/>
      <c r="O29" s="52"/>
    </row>
    <row r="30" spans="2:27" ht="17" x14ac:dyDescent="0.2">
      <c r="B30" s="101" t="s">
        <v>40</v>
      </c>
      <c r="C30" s="96" t="s">
        <v>88</v>
      </c>
      <c r="D30" s="72">
        <f>-SUMIF('Backend Engine'!S5:S34,"&lt;0",'Backend Engine'!S5:S34)</f>
        <v>15944.961615302367</v>
      </c>
      <c r="E30" s="34"/>
      <c r="F30" s="53"/>
      <c r="G30" s="34"/>
      <c r="H30" s="25"/>
      <c r="I30" s="61"/>
      <c r="J30" s="23"/>
      <c r="K30" s="43"/>
      <c r="L30" s="44"/>
      <c r="M30" s="44"/>
      <c r="N30" s="45"/>
      <c r="O30" s="52"/>
    </row>
    <row r="31" spans="2:27" ht="17" x14ac:dyDescent="0.2">
      <c r="B31" s="101" t="s">
        <v>41</v>
      </c>
      <c r="C31" s="47" t="s">
        <v>63</v>
      </c>
      <c r="D31" s="74">
        <f>SUM(D29:D30)</f>
        <v>5323392.7934882157</v>
      </c>
      <c r="E31" s="34"/>
      <c r="F31" s="23"/>
      <c r="G31" s="25"/>
      <c r="H31" s="23"/>
      <c r="I31" s="61"/>
      <c r="J31" s="25"/>
      <c r="K31" s="23"/>
      <c r="L31" s="23"/>
      <c r="M31" s="23"/>
    </row>
    <row r="32" spans="2:27" ht="17" x14ac:dyDescent="0.2">
      <c r="B32" s="101" t="s">
        <v>42</v>
      </c>
      <c r="C32" s="47" t="s">
        <v>43</v>
      </c>
      <c r="D32" s="74">
        <f>D28+D31-D27</f>
        <v>23704733.632587336</v>
      </c>
      <c r="E32" s="34"/>
      <c r="F32" s="23"/>
      <c r="G32" s="23"/>
      <c r="H32" s="58"/>
      <c r="I32" s="61"/>
      <c r="J32" s="23"/>
      <c r="K32" s="23"/>
      <c r="L32" s="23"/>
      <c r="M32" s="23"/>
      <c r="N32" s="23"/>
    </row>
    <row r="33" spans="2:14" ht="16" x14ac:dyDescent="0.2">
      <c r="B33" s="23"/>
      <c r="C33" s="54"/>
      <c r="D33" s="23"/>
      <c r="E33" s="34"/>
      <c r="F33" s="23"/>
      <c r="G33" s="55"/>
      <c r="H33" s="23"/>
      <c r="I33" s="61"/>
      <c r="J33" s="23"/>
      <c r="K33" s="23"/>
      <c r="L33" s="23"/>
      <c r="M33" s="23"/>
      <c r="N33" s="23"/>
    </row>
    <row r="34" spans="2:14" ht="16" x14ac:dyDescent="0.2">
      <c r="B34" s="23"/>
      <c r="C34" s="53"/>
      <c r="D34" s="23"/>
      <c r="E34" s="34"/>
      <c r="F34" s="23"/>
      <c r="G34" s="23"/>
      <c r="H34" s="23"/>
      <c r="I34" s="61"/>
      <c r="J34" s="23"/>
      <c r="K34" s="23"/>
      <c r="L34" s="23"/>
      <c r="M34" s="23"/>
      <c r="N34" s="23"/>
    </row>
    <row r="35" spans="2:14" ht="16" x14ac:dyDescent="0.2">
      <c r="B35" s="23"/>
      <c r="C35" s="53"/>
      <c r="D35" s="23"/>
      <c r="E35" s="34"/>
      <c r="F35" s="23"/>
      <c r="G35" s="23"/>
      <c r="H35" s="23"/>
      <c r="I35" s="61"/>
      <c r="J35" s="23"/>
      <c r="K35" s="23"/>
      <c r="L35" s="23"/>
      <c r="M35" s="23"/>
      <c r="N35" s="23"/>
    </row>
    <row r="36" spans="2:14" ht="16" x14ac:dyDescent="0.2">
      <c r="B36" s="23"/>
      <c r="C36" s="53"/>
      <c r="D36" s="23"/>
      <c r="E36" s="34"/>
      <c r="F36" s="53"/>
      <c r="G36" s="23"/>
      <c r="H36" s="23"/>
      <c r="I36" s="61"/>
      <c r="J36" s="23"/>
      <c r="K36" s="23"/>
      <c r="L36" s="23"/>
      <c r="M36" s="23"/>
      <c r="N36" s="23"/>
    </row>
    <row r="37" spans="2:14" ht="16" x14ac:dyDescent="0.2">
      <c r="B37" s="23"/>
      <c r="C37" s="53"/>
      <c r="D37" s="23"/>
      <c r="E37" s="34"/>
      <c r="F37" s="23"/>
      <c r="G37" s="23"/>
      <c r="H37" s="23"/>
      <c r="I37" s="61"/>
      <c r="J37" s="23"/>
      <c r="K37" s="23"/>
      <c r="L37" s="23"/>
      <c r="M37" s="23"/>
      <c r="N37" s="23"/>
    </row>
    <row r="38" spans="2:14" ht="16" x14ac:dyDescent="0.2">
      <c r="B38" s="23"/>
      <c r="C38" s="53"/>
      <c r="D38" s="23"/>
      <c r="E38" s="34"/>
      <c r="F38" s="23"/>
      <c r="G38" s="23"/>
      <c r="H38" s="23"/>
      <c r="I38" s="61"/>
      <c r="J38" s="23"/>
      <c r="K38" s="23"/>
      <c r="L38" s="23"/>
      <c r="M38" s="23"/>
      <c r="N38" s="23"/>
    </row>
    <row r="39" spans="2:14" ht="16" x14ac:dyDescent="0.2">
      <c r="B39" s="23"/>
      <c r="C39" s="53"/>
      <c r="D39" s="23"/>
      <c r="E39" s="34"/>
      <c r="F39" s="23"/>
      <c r="G39" s="23"/>
      <c r="H39" s="23"/>
      <c r="I39" s="61"/>
      <c r="J39" s="23"/>
      <c r="K39" s="23"/>
      <c r="L39" s="23"/>
      <c r="M39" s="23"/>
      <c r="N39" s="23"/>
    </row>
    <row r="40" spans="2:14" ht="16" x14ac:dyDescent="0.2">
      <c r="B40" s="23"/>
      <c r="C40" s="53"/>
      <c r="D40" s="23"/>
      <c r="E40" s="23"/>
      <c r="F40" s="23"/>
      <c r="G40" s="23"/>
      <c r="H40" s="23"/>
      <c r="I40" s="61"/>
      <c r="J40" s="23"/>
      <c r="K40" s="23"/>
      <c r="L40" s="23"/>
      <c r="M40" s="23"/>
      <c r="N40" s="23"/>
    </row>
    <row r="41" spans="2:14" ht="16" x14ac:dyDescent="0.2">
      <c r="B41" s="23"/>
      <c r="C41" s="53"/>
      <c r="E41" s="23"/>
      <c r="F41" s="23"/>
      <c r="G41" s="23"/>
      <c r="H41" s="23"/>
      <c r="I41" s="61"/>
      <c r="J41" s="23"/>
      <c r="K41" s="23"/>
      <c r="L41" s="23"/>
      <c r="M41" s="23"/>
      <c r="N41" s="23"/>
    </row>
    <row r="42" spans="2:14" ht="16" x14ac:dyDescent="0.2">
      <c r="B42" s="23"/>
      <c r="C42" s="53"/>
      <c r="E42" s="23"/>
      <c r="F42" s="23"/>
      <c r="G42" s="23"/>
      <c r="H42" s="23"/>
      <c r="I42" s="61"/>
      <c r="J42" s="23"/>
      <c r="K42" s="23"/>
      <c r="L42" s="23"/>
      <c r="M42" s="23"/>
      <c r="N42" s="23"/>
    </row>
    <row r="43" spans="2:14" ht="16" x14ac:dyDescent="0.2">
      <c r="B43" s="23"/>
      <c r="C43" s="53"/>
      <c r="E43" s="23"/>
      <c r="F43" s="23"/>
      <c r="G43" s="23"/>
      <c r="H43" s="23"/>
      <c r="I43" s="61"/>
      <c r="J43" s="23"/>
      <c r="K43" s="23"/>
      <c r="L43" s="23"/>
      <c r="M43" s="23"/>
      <c r="N43" s="23"/>
    </row>
    <row r="44" spans="2:14" ht="16" x14ac:dyDescent="0.2">
      <c r="B44" s="23"/>
      <c r="C44" s="53"/>
      <c r="E44" s="23"/>
      <c r="F44" s="23"/>
      <c r="G44" s="23"/>
      <c r="H44" s="23"/>
      <c r="I44" s="61"/>
      <c r="J44" s="23"/>
      <c r="K44" s="23"/>
      <c r="L44" s="23"/>
      <c r="M44" s="23"/>
      <c r="N44" s="23"/>
    </row>
    <row r="45" spans="2:14" ht="16" x14ac:dyDescent="0.2">
      <c r="B45" s="23"/>
      <c r="C45" s="53"/>
      <c r="E45" s="23"/>
      <c r="I45" s="61"/>
      <c r="J45" s="23"/>
      <c r="K45" s="23"/>
      <c r="L45" s="23"/>
      <c r="M45" s="23"/>
      <c r="N45" s="23"/>
    </row>
    <row r="46" spans="2:14" ht="16" x14ac:dyDescent="0.2">
      <c r="B46" s="23"/>
      <c r="C46" s="53"/>
      <c r="E46" s="23"/>
      <c r="I46" s="61"/>
      <c r="J46" s="23"/>
      <c r="K46" s="23"/>
      <c r="L46" s="23"/>
      <c r="M46" s="23"/>
      <c r="N46" s="23"/>
    </row>
    <row r="47" spans="2:14" ht="16" x14ac:dyDescent="0.2">
      <c r="B47" s="23"/>
      <c r="C47" s="53"/>
      <c r="E47" s="23"/>
      <c r="I47" s="61"/>
      <c r="J47" s="23"/>
      <c r="K47" s="23"/>
      <c r="L47" s="23"/>
      <c r="M47" s="23"/>
      <c r="N47" s="23"/>
    </row>
    <row r="48" spans="2:14" ht="16" x14ac:dyDescent="0.2">
      <c r="B48" s="23"/>
      <c r="C48" s="53"/>
      <c r="E48" s="23"/>
      <c r="I48" s="61"/>
      <c r="J48" s="23"/>
      <c r="K48" s="23"/>
      <c r="L48" s="23"/>
      <c r="M48" s="23"/>
      <c r="N48" s="23"/>
    </row>
    <row r="49" spans="2:13" ht="16" x14ac:dyDescent="0.2">
      <c r="B49" s="23"/>
      <c r="C49" s="53"/>
      <c r="J49" s="23"/>
      <c r="K49" s="23"/>
      <c r="L49" s="23"/>
      <c r="M49" s="23"/>
    </row>
    <row r="50" spans="2:13" ht="16" x14ac:dyDescent="0.2">
      <c r="B50" s="23"/>
      <c r="C50" s="53"/>
    </row>
    <row r="51" spans="2:13" ht="16" x14ac:dyDescent="0.2">
      <c r="B51" s="23"/>
      <c r="C51" s="53"/>
    </row>
    <row r="52" spans="2:13" ht="16" x14ac:dyDescent="0.2">
      <c r="B52" s="23"/>
      <c r="C52" s="53"/>
    </row>
    <row r="53" spans="2:13" ht="16" x14ac:dyDescent="0.2">
      <c r="B53" s="23"/>
      <c r="C53" s="56">
        <f>SUM(C33:C52)</f>
        <v>0</v>
      </c>
    </row>
  </sheetData>
  <mergeCells count="9">
    <mergeCell ref="G6:H7"/>
    <mergeCell ref="J24:M24"/>
    <mergeCell ref="C8:D8"/>
    <mergeCell ref="G8:H8"/>
    <mergeCell ref="J8:K8"/>
    <mergeCell ref="B17:D17"/>
    <mergeCell ref="F17:H17"/>
    <mergeCell ref="J17:M17"/>
    <mergeCell ref="J11:K11"/>
  </mergeCells>
  <hyperlinks>
    <hyperlink ref="L6" r:id="rId1" xr:uid="{00000000-0004-0000-0000-000000000000}"/>
    <hyperlink ref="L9" r:id="rId2" xr:uid="{9A88070A-9FD3-450D-A2F4-AF233CA6AB3D}"/>
  </hyperlinks>
  <pageMargins left="0.7" right="4.1447222222222226" top="0.75" bottom="0.75" header="0" footer="0"/>
  <pageSetup scale="37" orientation="portrait" r:id="rId3"/>
  <headerFooter>
    <oddHeader>&amp;C
&amp;G</oddHeader>
  </headerFooter>
  <colBreaks count="2" manualBreakCount="2">
    <brk id="5" min="1" max="38" man="1"/>
    <brk id="9" min="1" max="38" man="1"/>
  </colBreaks>
  <ignoredErrors>
    <ignoredError sqref="H19 H21" unlockedFormula="1"/>
  </ignoredErrors>
  <drawing r:id="rId4"/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991"/>
  <sheetViews>
    <sheetView showGridLines="0" topLeftCell="H10" zoomScale="150" zoomScaleNormal="150" workbookViewId="0">
      <selection activeCell="Q24" sqref="Q24"/>
    </sheetView>
  </sheetViews>
  <sheetFormatPr baseColWidth="10" defaultColWidth="14.5" defaultRowHeight="15" customHeight="1" x14ac:dyDescent="0.2"/>
  <cols>
    <col min="1" max="1" width="2.83203125" customWidth="1"/>
    <col min="2" max="2" width="7.5" bestFit="1" customWidth="1"/>
    <col min="3" max="3" width="12.1640625" customWidth="1"/>
    <col min="4" max="4" width="13.83203125" bestFit="1" customWidth="1"/>
    <col min="5" max="5" width="13.1640625" style="4" bestFit="1" customWidth="1"/>
    <col min="6" max="6" width="14.1640625" style="7" customWidth="1"/>
    <col min="7" max="7" width="5.5" style="7" bestFit="1" customWidth="1"/>
    <col min="8" max="10" width="10.1640625" style="7" bestFit="1" customWidth="1"/>
    <col min="11" max="11" width="18.83203125" style="7" bestFit="1" customWidth="1"/>
    <col min="12" max="12" width="19.83203125" style="7" bestFit="1" customWidth="1"/>
    <col min="13" max="13" width="13.6640625" style="7" bestFit="1" customWidth="1"/>
    <col min="14" max="14" width="26.33203125" style="7" bestFit="1" customWidth="1"/>
    <col min="15" max="15" width="16.1640625" style="7" bestFit="1" customWidth="1"/>
    <col min="16" max="16" width="1.33203125" style="7" customWidth="1"/>
    <col min="17" max="17" width="11" style="4" customWidth="1"/>
    <col min="18" max="18" width="16.83203125" bestFit="1" customWidth="1"/>
    <col min="19" max="19" width="26.33203125" bestFit="1" customWidth="1"/>
    <col min="20" max="20" width="14.1640625" bestFit="1" customWidth="1"/>
    <col min="21" max="21" width="26.33203125" bestFit="1" customWidth="1"/>
    <col min="22" max="23" width="8.6640625" customWidth="1"/>
  </cols>
  <sheetData>
    <row r="1" spans="2:22" ht="20" x14ac:dyDescent="0.25">
      <c r="B1" s="87"/>
      <c r="C1" s="88" t="s">
        <v>85</v>
      </c>
      <c r="D1" s="3"/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"/>
      <c r="R1" s="1"/>
      <c r="S1" s="1"/>
      <c r="U1" s="4"/>
      <c r="V1" s="2"/>
    </row>
    <row r="2" spans="2:22" ht="19" customHeight="1" x14ac:dyDescent="0.25">
      <c r="B2" s="89"/>
      <c r="C2" s="109" t="s">
        <v>86</v>
      </c>
      <c r="D2" s="109"/>
      <c r="E2" s="109"/>
    </row>
    <row r="3" spans="2:22" ht="15" customHeight="1" x14ac:dyDescent="0.25">
      <c r="B3" s="98"/>
      <c r="C3" s="88"/>
    </row>
    <row r="4" spans="2:22" ht="14.25" customHeight="1" x14ac:dyDescent="0.2">
      <c r="B4" s="9" t="s">
        <v>49</v>
      </c>
      <c r="C4" s="9" t="s">
        <v>29</v>
      </c>
      <c r="D4" s="9" t="s">
        <v>47</v>
      </c>
      <c r="E4" s="9" t="s">
        <v>48</v>
      </c>
      <c r="F4" s="8"/>
      <c r="G4" s="9" t="s">
        <v>50</v>
      </c>
      <c r="H4" s="9" t="s">
        <v>51</v>
      </c>
      <c r="I4" s="9" t="s">
        <v>52</v>
      </c>
      <c r="J4" s="9" t="s">
        <v>29</v>
      </c>
      <c r="K4" s="9" t="s">
        <v>56</v>
      </c>
      <c r="L4" s="9" t="s">
        <v>57</v>
      </c>
      <c r="M4" s="9" t="s">
        <v>58</v>
      </c>
      <c r="N4" s="9" t="s">
        <v>62</v>
      </c>
      <c r="O4" s="9" t="s">
        <v>54</v>
      </c>
      <c r="P4" s="8"/>
      <c r="Q4" s="9" t="s">
        <v>11</v>
      </c>
      <c r="R4" s="9" t="s">
        <v>44</v>
      </c>
      <c r="S4" s="9" t="s">
        <v>62</v>
      </c>
      <c r="T4" s="9" t="s">
        <v>45</v>
      </c>
      <c r="U4" s="9" t="s">
        <v>62</v>
      </c>
    </row>
    <row r="5" spans="2:22" ht="14.25" customHeight="1" x14ac:dyDescent="0.2">
      <c r="B5" s="91">
        <v>1</v>
      </c>
      <c r="C5" s="92">
        <f>IF(Table_1[[#This Row],[Column1]]&lt;='Buy Vs Rent Calculator'!$D$13*12,'Buy Vs Rent Calculator'!$D$22,0)</f>
        <v>69425.85866924272</v>
      </c>
      <c r="D5" s="92">
        <f>IF(Table_1[[#This Row],[Column1]]&lt;='Buy Vs Rent Calculator'!$D$13*12,-PPMT('Buy Vs Rent Calculator'!$D$12/12,Table_1[[#This Row],[Column1]],'Buy Vs Rent Calculator'!$D$13*12,'Buy Vs Rent Calculator'!$D$21),0)</f>
        <v>12759.192002576045</v>
      </c>
      <c r="E5" s="92">
        <f>IF(Table_1[[#This Row],[Column1]]&lt;='Buy Vs Rent Calculator'!$D$13*12,-IPMT('Buy Vs Rent Calculator'!$D$12/12,Table_1[[#This Row],[Column1]],'Buy Vs Rent Calculator'!$D$13*12,'Buy Vs Rent Calculator'!$D$21),0)</f>
        <v>56666.666666666679</v>
      </c>
      <c r="F5" s="6"/>
      <c r="G5" s="91">
        <v>1</v>
      </c>
      <c r="H5" s="92">
        <f>SUM(D5:D16)</f>
        <v>159218.33499751936</v>
      </c>
      <c r="I5" s="92">
        <f>SUM(E5:E16)</f>
        <v>673891.96903339343</v>
      </c>
      <c r="J5" s="92">
        <f>SUM(Table_1[[#This Row],[Column14]:[Column13]])</f>
        <v>833110.30403091281</v>
      </c>
      <c r="K5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5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5" s="92">
        <f>SUM(Table_1[[#This Row],[Column15]:[Column16]])</f>
        <v>75000</v>
      </c>
      <c r="N5" s="92">
        <f>Table_1[[#This Row],[Column17]]*(1+'Buy Vs Rent Calculator'!$K$9)^('Buy Vs Rent Calculator'!$D$13-Table_1[[#This Row],[Column12]])</f>
        <v>645957.12678180449</v>
      </c>
      <c r="O5" s="92">
        <f>IF(Table_1[[#This Row],[Column12]]&lt;='Buy Vs Rent Calculator'!$D$13,'Buy Vs Rent Calculator'!$H$13*'Buy Vs Rent Calculator'!$D$9,0)</f>
        <v>50000</v>
      </c>
      <c r="P5" s="93"/>
      <c r="Q5" s="92">
        <f>'Buy Vs Rent Calculator'!H21*12</f>
        <v>336000</v>
      </c>
      <c r="R5" s="92">
        <f>Table_1[[#This Row],[Column11]]-Table_1[[#This Row],[Column3]]</f>
        <v>497110.30403091281</v>
      </c>
      <c r="S5" s="92">
        <f>IF(Table_1[[#This Row],[Column12]]&lt;='Buy Vs Rent Calculator'!$D$13,R5*(1+'Buy Vs Rent Calculator'!$K$9)^('Buy Vs Rent Calculator'!$D$13-Table_1[[#This Row],[Column12]]),0)</f>
        <v>4281492.5824725032</v>
      </c>
      <c r="T5" s="94">
        <f>IF(Table_1[[#This Row],[Column12]]&lt;='Buy Vs Rent Calculator'!$D$13,((Table_1[[#This Row],[Column3]])-Table_1[[#This Row],[Column19]])*'Buy Vs Rent Calculator'!$D$6*0.8,0)</f>
        <v>68640</v>
      </c>
      <c r="U5" s="92">
        <f>T5*(1+'Buy Vs Rent Calculator'!$K$9)^('Buy Vs Rent Calculator'!$D$13-Table_1[[#This Row],[Column12]])</f>
        <v>591179.96243070753</v>
      </c>
    </row>
    <row r="6" spans="2:22" ht="14.25" customHeight="1" x14ac:dyDescent="0.2">
      <c r="B6" s="91">
        <v>2</v>
      </c>
      <c r="C6" s="92">
        <f>IF(Table_1[[#This Row],[Column1]]&lt;='Buy Vs Rent Calculator'!$D$13*12,'Buy Vs Rent Calculator'!$D$22,0)</f>
        <v>69425.85866924272</v>
      </c>
      <c r="D6" s="92">
        <f>IF(Table_1[[#This Row],[Column1]]&lt;='Buy Vs Rent Calculator'!$D$13*12,-PPMT('Buy Vs Rent Calculator'!$D$12/12,Table_1[[#This Row],[Column1]],'Buy Vs Rent Calculator'!$D$13*12,'Buy Vs Rent Calculator'!$D$21),0)</f>
        <v>12849.569612594292</v>
      </c>
      <c r="E6" s="92">
        <f>IF(Table_1[[#This Row],[Column1]]&lt;='Buy Vs Rent Calculator'!$D$13*12,-IPMT('Buy Vs Rent Calculator'!$D$12/12,Table_1[[#This Row],[Column1]],'Buy Vs Rent Calculator'!$D$13*12,'Buy Vs Rent Calculator'!$D$21),0)</f>
        <v>56576.289056648435</v>
      </c>
      <c r="F6" s="6"/>
      <c r="G6" s="91">
        <v>2</v>
      </c>
      <c r="H6" s="92">
        <f>SUM(D17:D28)</f>
        <v>173291.78786266717</v>
      </c>
      <c r="I6" s="92">
        <f>SUM(E17:E28)</f>
        <v>659818.51616824546</v>
      </c>
      <c r="J6" s="92">
        <f>SUM(Table_1[[#This Row],[Column14]:[Column13]])</f>
        <v>833110.3040309127</v>
      </c>
      <c r="K6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6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6" s="92">
        <f>SUM(Table_1[[#This Row],[Column15]:[Column16]])</f>
        <v>75000</v>
      </c>
      <c r="N6" s="92">
        <f>Table_1[[#This Row],[Column17]]*(1+'Buy Vs Rent Calculator'!$K$9)^('Buy Vs Rent Calculator'!$D$13-Table_1[[#This Row],[Column12]])</f>
        <v>576747.43462661107</v>
      </c>
      <c r="O6" s="92">
        <f>IF(G6&lt;='Buy Vs Rent Calculator'!$D$13,O5*(1+'Buy Vs Rent Calculator'!$H$11),0)</f>
        <v>52500</v>
      </c>
      <c r="P6" s="93"/>
      <c r="Q6" s="92">
        <f>IF(Table_1[[#This Row],[Column12]]&lt;='Buy Vs Rent Calculator'!$D$13,Q5*(1+'Buy Vs Rent Calculator'!$H$9),0)</f>
        <v>352800</v>
      </c>
      <c r="R6" s="92">
        <f>Table_1[[#This Row],[Column11]]-Table_1[[#This Row],[Column3]]</f>
        <v>480310.3040309127</v>
      </c>
      <c r="S6" s="92">
        <f>IF(Table_1[[#This Row],[Column12]]&lt;='Buy Vs Rent Calculator'!$D$13,R6*(1+'Buy Vs Rent Calculator'!$K$9)^('Buy Vs Rent Calculator'!$D$13-Table_1[[#This Row],[Column12]]),0)</f>
        <v>3693569.8089940869</v>
      </c>
      <c r="T6" s="94">
        <f>IF(Table_1[[#This Row],[Column12]]&lt;='Buy Vs Rent Calculator'!$D$13,((Table_1[[#This Row],[Column3]])-Table_1[[#This Row],[Column19]])*'Buy Vs Rent Calculator'!$D$6*0.8,0)</f>
        <v>72072</v>
      </c>
      <c r="U6" s="92">
        <f>T6*(1+'Buy Vs Rent Calculator'!$K$9)^('Buy Vs Rent Calculator'!$D$13-Table_1[[#This Row],[Column12]])</f>
        <v>554231.21477878815</v>
      </c>
    </row>
    <row r="7" spans="2:22" ht="14.25" customHeight="1" x14ac:dyDescent="0.2">
      <c r="B7" s="91">
        <v>3</v>
      </c>
      <c r="C7" s="92">
        <f>IF(Table_1[[#This Row],[Column1]]&lt;='Buy Vs Rent Calculator'!$D$13*12,'Buy Vs Rent Calculator'!$D$22,0)</f>
        <v>69425.85866924272</v>
      </c>
      <c r="D7" s="92">
        <f>IF(Table_1[[#This Row],[Column1]]&lt;='Buy Vs Rent Calculator'!$D$13*12,-PPMT('Buy Vs Rent Calculator'!$D$12/12,Table_1[[#This Row],[Column1]],'Buy Vs Rent Calculator'!$D$13*12,'Buy Vs Rent Calculator'!$D$21),0)</f>
        <v>12940.587397350171</v>
      </c>
      <c r="E7" s="92">
        <f>IF(Table_1[[#This Row],[Column1]]&lt;='Buy Vs Rent Calculator'!$D$13*12,-IPMT('Buy Vs Rent Calculator'!$D$12/12,Table_1[[#This Row],[Column1]],'Buy Vs Rent Calculator'!$D$13*12,'Buy Vs Rent Calculator'!$D$21),0)</f>
        <v>56485.271271892547</v>
      </c>
      <c r="F7" s="6"/>
      <c r="G7" s="91">
        <v>3</v>
      </c>
      <c r="H7" s="92">
        <f>SUM(D29:D40)</f>
        <v>188609.20597560267</v>
      </c>
      <c r="I7" s="92">
        <f>SUM(E29:E40)</f>
        <v>644501.09805530997</v>
      </c>
      <c r="J7" s="92">
        <f>SUM(Table_1[[#This Row],[Column14]:[Column13]])</f>
        <v>833110.3040309127</v>
      </c>
      <c r="K7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7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7" s="92">
        <f>SUM(Table_1[[#This Row],[Column15]:[Column16]])</f>
        <v>75000</v>
      </c>
      <c r="N7" s="92">
        <f>Table_1[[#This Row],[Column17]]*(1+'Buy Vs Rent Calculator'!$K$9)^('Buy Vs Rent Calculator'!$D$13-Table_1[[#This Row],[Column12]])</f>
        <v>514953.0666309027</v>
      </c>
      <c r="O7" s="92">
        <f>IF(G7&lt;='Buy Vs Rent Calculator'!$D$13,O6*(1+'Buy Vs Rent Calculator'!$H$11),0)</f>
        <v>55125</v>
      </c>
      <c r="P7" s="93"/>
      <c r="Q7" s="92">
        <f>IF(Table_1[[#This Row],[Column12]]&lt;='Buy Vs Rent Calculator'!$D$13,Q6*(1+'Buy Vs Rent Calculator'!$H$9),0)</f>
        <v>370440</v>
      </c>
      <c r="R7" s="92">
        <f>Table_1[[#This Row],[Column11]]-Table_1[[#This Row],[Column3]]</f>
        <v>462670.3040309127</v>
      </c>
      <c r="S7" s="92">
        <f>IF(Table_1[[#This Row],[Column12]]&lt;='Buy Vs Rent Calculator'!$D$13,R7*(1+'Buy Vs Rent Calculator'!$K$9)^('Buy Vs Rent Calculator'!$D$13-Table_1[[#This Row],[Column12]]),0)</f>
        <v>3176713.2253302746</v>
      </c>
      <c r="T7" s="94">
        <f>IF(Table_1[[#This Row],[Column12]]&lt;='Buy Vs Rent Calculator'!$D$13,((Table_1[[#This Row],[Column3]])-Table_1[[#This Row],[Column19]])*'Buy Vs Rent Calculator'!$D$6*0.8,0)</f>
        <v>75675.600000000006</v>
      </c>
      <c r="U7" s="92">
        <f>T7*(1+'Buy Vs Rent Calculator'!$K$9)^('Buy Vs Rent Calculator'!$D$13-Table_1[[#This Row],[Column12]])</f>
        <v>519591.76385511394</v>
      </c>
    </row>
    <row r="8" spans="2:22" ht="14.25" customHeight="1" x14ac:dyDescent="0.2">
      <c r="B8" s="91">
        <v>4</v>
      </c>
      <c r="C8" s="92">
        <f>IF(Table_1[[#This Row],[Column1]]&lt;='Buy Vs Rent Calculator'!$D$13*12,'Buy Vs Rent Calculator'!$D$22,0)</f>
        <v>69425.85866924272</v>
      </c>
      <c r="D8" s="92">
        <f>IF(Table_1[[#This Row],[Column1]]&lt;='Buy Vs Rent Calculator'!$D$13*12,-PPMT('Buy Vs Rent Calculator'!$D$12/12,Table_1[[#This Row],[Column1]],'Buy Vs Rent Calculator'!$D$13*12,'Buy Vs Rent Calculator'!$D$21),0)</f>
        <v>13032.249891414733</v>
      </c>
      <c r="E8" s="92">
        <f>IF(Table_1[[#This Row],[Column1]]&lt;='Buy Vs Rent Calculator'!$D$13*12,-IPMT('Buy Vs Rent Calculator'!$D$12/12,Table_1[[#This Row],[Column1]],'Buy Vs Rent Calculator'!$D$13*12,'Buy Vs Rent Calculator'!$D$21),0)</f>
        <v>56393.608777827983</v>
      </c>
      <c r="F8" s="6"/>
      <c r="G8" s="91">
        <v>4</v>
      </c>
      <c r="H8" s="92">
        <f>SUM(D41:D52)</f>
        <v>205280.54455147681</v>
      </c>
      <c r="I8" s="92">
        <f>SUM(E41:E52)</f>
        <v>627829.75947943586</v>
      </c>
      <c r="J8" s="92">
        <f>SUM(Table_1[[#This Row],[Column14]:[Column13]])</f>
        <v>833110.3040309127</v>
      </c>
      <c r="K8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8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8" s="92">
        <f>SUM(Table_1[[#This Row],[Column15]:[Column16]])</f>
        <v>75000</v>
      </c>
      <c r="N8" s="92">
        <f>Table_1[[#This Row],[Column17]]*(1+'Buy Vs Rent Calculator'!$K$9)^('Buy Vs Rent Calculator'!$D$13-Table_1[[#This Row],[Column12]])</f>
        <v>459779.5237775917</v>
      </c>
      <c r="O8" s="92">
        <f>IF(G8&lt;='Buy Vs Rent Calculator'!$D$13,O7*(1+'Buy Vs Rent Calculator'!$H$11),0)</f>
        <v>57881.25</v>
      </c>
      <c r="P8" s="93"/>
      <c r="Q8" s="92">
        <f>IF(Table_1[[#This Row],[Column12]]&lt;='Buy Vs Rent Calculator'!$D$13,Q7*(1+'Buy Vs Rent Calculator'!$H$9),0)</f>
        <v>388962</v>
      </c>
      <c r="R8" s="92">
        <f>Table_1[[#This Row],[Column11]]-Table_1[[#This Row],[Column3]]</f>
        <v>444148.3040309127</v>
      </c>
      <c r="S8" s="92">
        <f>IF(Table_1[[#This Row],[Column12]]&lt;='Buy Vs Rent Calculator'!$D$13,R8*(1+'Buy Vs Rent Calculator'!$K$9)^('Buy Vs Rent Calculator'!$D$13-Table_1[[#This Row],[Column12]]),0)</f>
        <v>2722803.9428527737</v>
      </c>
      <c r="T8" s="94">
        <f>IF(Table_1[[#This Row],[Column12]]&lt;='Buy Vs Rent Calculator'!$D$13,((Table_1[[#This Row],[Column3]])-Table_1[[#This Row],[Column19]])*'Buy Vs Rent Calculator'!$D$6*0.8,0)</f>
        <v>79459.38</v>
      </c>
      <c r="U8" s="92">
        <f>T8*(1+'Buy Vs Rent Calculator'!$K$9)^('Buy Vs Rent Calculator'!$D$13-Table_1[[#This Row],[Column12]])</f>
        <v>487117.27861416928</v>
      </c>
    </row>
    <row r="9" spans="2:22" ht="14.25" customHeight="1" x14ac:dyDescent="0.2">
      <c r="B9" s="91">
        <v>5</v>
      </c>
      <c r="C9" s="92">
        <f>IF(Table_1[[#This Row],[Column1]]&lt;='Buy Vs Rent Calculator'!$D$13*12,'Buy Vs Rent Calculator'!$D$22,0)</f>
        <v>69425.85866924272</v>
      </c>
      <c r="D9" s="92">
        <f>IF(Table_1[[#This Row],[Column1]]&lt;='Buy Vs Rent Calculator'!$D$13*12,-PPMT('Buy Vs Rent Calculator'!$D$12/12,Table_1[[#This Row],[Column1]],'Buy Vs Rent Calculator'!$D$13*12,'Buy Vs Rent Calculator'!$D$21),0)</f>
        <v>13124.561661478921</v>
      </c>
      <c r="E9" s="92">
        <f>IF(Table_1[[#This Row],[Column1]]&lt;='Buy Vs Rent Calculator'!$D$13*12,-IPMT('Buy Vs Rent Calculator'!$D$12/12,Table_1[[#This Row],[Column1]],'Buy Vs Rent Calculator'!$D$13*12,'Buy Vs Rent Calculator'!$D$21),0)</f>
        <v>56301.297007763802</v>
      </c>
      <c r="F9" s="6"/>
      <c r="G9" s="91">
        <v>5</v>
      </c>
      <c r="H9" s="92">
        <f>SUM(D53:D64)</f>
        <v>223425.47784651528</v>
      </c>
      <c r="I9" s="92">
        <f>SUM(E53:E64)</f>
        <v>609684.82618439733</v>
      </c>
      <c r="J9" s="92">
        <f>SUM(Table_1[[#This Row],[Column14]:[Column13]])</f>
        <v>833110.30403091258</v>
      </c>
      <c r="K9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9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9" s="92">
        <f>SUM(Table_1[[#This Row],[Column15]:[Column16]])</f>
        <v>75000</v>
      </c>
      <c r="N9" s="92">
        <f>Table_1[[#This Row],[Column17]]*(1+'Buy Vs Rent Calculator'!$K$9)^('Buy Vs Rent Calculator'!$D$13-Table_1[[#This Row],[Column12]])</f>
        <v>410517.43194427819</v>
      </c>
      <c r="O9" s="92">
        <f>IF(G9&lt;='Buy Vs Rent Calculator'!$D$13,O8*(1+'Buy Vs Rent Calculator'!$H$11),0)</f>
        <v>60775.3125</v>
      </c>
      <c r="P9" s="93"/>
      <c r="Q9" s="92">
        <f>IF(Table_1[[#This Row],[Column12]]&lt;='Buy Vs Rent Calculator'!$D$13,Q8*(1+'Buy Vs Rent Calculator'!$H$9),0)</f>
        <v>408410.10000000003</v>
      </c>
      <c r="R9" s="92">
        <f>Table_1[[#This Row],[Column11]]-Table_1[[#This Row],[Column3]]</f>
        <v>424700.20403091254</v>
      </c>
      <c r="S9" s="92">
        <f>IF(Table_1[[#This Row],[Column12]]&lt;='Buy Vs Rent Calculator'!$D$13,R9*(1+'Buy Vs Rent Calculator'!$K$9)^('Buy Vs Rent Calculator'!$D$13-Table_1[[#This Row],[Column12]]),0)</f>
        <v>2324624.4947330826</v>
      </c>
      <c r="T9" s="94">
        <f>IF(Table_1[[#This Row],[Column12]]&lt;='Buy Vs Rent Calculator'!$D$13,((Table_1[[#This Row],[Column3]])-Table_1[[#This Row],[Column19]])*'Buy Vs Rent Calculator'!$D$6*0.8,0)</f>
        <v>83432.349000000017</v>
      </c>
      <c r="U9" s="92">
        <f>T9*(1+'Buy Vs Rent Calculator'!$K$9)^('Buy Vs Rent Calculator'!$D$13-Table_1[[#This Row],[Column12]])</f>
        <v>456672.44870078366</v>
      </c>
    </row>
    <row r="10" spans="2:22" ht="14.25" customHeight="1" x14ac:dyDescent="0.2">
      <c r="B10" s="91">
        <v>6</v>
      </c>
      <c r="C10" s="92">
        <f>IF(Table_1[[#This Row],[Column1]]&lt;='Buy Vs Rent Calculator'!$D$13*12,'Buy Vs Rent Calculator'!$D$22,0)</f>
        <v>69425.85866924272</v>
      </c>
      <c r="D10" s="92">
        <f>IF(Table_1[[#This Row],[Column1]]&lt;='Buy Vs Rent Calculator'!$D$13*12,-PPMT('Buy Vs Rent Calculator'!$D$12/12,Table_1[[#This Row],[Column1]],'Buy Vs Rent Calculator'!$D$13*12,'Buy Vs Rent Calculator'!$D$21),0)</f>
        <v>13217.527306581062</v>
      </c>
      <c r="E10" s="92">
        <f>IF(Table_1[[#This Row],[Column1]]&lt;='Buy Vs Rent Calculator'!$D$13*12,-IPMT('Buy Vs Rent Calculator'!$D$12/12,Table_1[[#This Row],[Column1]],'Buy Vs Rent Calculator'!$D$13*12,'Buy Vs Rent Calculator'!$D$21),0)</f>
        <v>56208.331362661658</v>
      </c>
      <c r="F10" s="6"/>
      <c r="G10" s="91">
        <v>6</v>
      </c>
      <c r="H10" s="92">
        <f>SUM(D65:D76)</f>
        <v>243174.25823286362</v>
      </c>
      <c r="I10" s="92">
        <f>SUM(E65:E76)</f>
        <v>589936.04579804908</v>
      </c>
      <c r="J10" s="92">
        <f>SUM(Table_1[[#This Row],[Column14]:[Column13]])</f>
        <v>833110.3040309127</v>
      </c>
      <c r="K10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10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10" s="92">
        <f>SUM(Table_1[[#This Row],[Column15]:[Column16]])</f>
        <v>75000</v>
      </c>
      <c r="N10" s="92">
        <f>Table_1[[#This Row],[Column17]]*(1+'Buy Vs Rent Calculator'!$K$9)^('Buy Vs Rent Calculator'!$D$13-Table_1[[#This Row],[Column12]])</f>
        <v>366533.42137881985</v>
      </c>
      <c r="O10" s="92">
        <f>IF(G10&lt;='Buy Vs Rent Calculator'!$D$13,O9*(1+'Buy Vs Rent Calculator'!$H$11),0)</f>
        <v>63814.078125</v>
      </c>
      <c r="P10" s="93"/>
      <c r="Q10" s="92">
        <f>IF(Table_1[[#This Row],[Column12]]&lt;='Buy Vs Rent Calculator'!$D$13,Q9*(1+'Buy Vs Rent Calculator'!$H$9),0)</f>
        <v>428830.60500000004</v>
      </c>
      <c r="R10" s="92">
        <f>Table_1[[#This Row],[Column11]]-Table_1[[#This Row],[Column3]]</f>
        <v>404279.69903091266</v>
      </c>
      <c r="S10" s="92">
        <f>IF(Table_1[[#This Row],[Column12]]&lt;='Buy Vs Rent Calculator'!$D$13,R10*(1+'Buy Vs Rent Calculator'!$K$9)^('Buy Vs Rent Calculator'!$D$13-Table_1[[#This Row],[Column12]]),0)</f>
        <v>1975760.2837306664</v>
      </c>
      <c r="T10" s="94">
        <f>IF(Table_1[[#This Row],[Column12]]&lt;='Buy Vs Rent Calculator'!$D$13,((Table_1[[#This Row],[Column3]])-Table_1[[#This Row],[Column19]])*'Buy Vs Rent Calculator'!$D$6*0.8,0)</f>
        <v>87603.966450000007</v>
      </c>
      <c r="U10" s="92">
        <f>T10*(1+'Buy Vs Rent Calculator'!$K$9)^('Buy Vs Rent Calculator'!$D$13-Table_1[[#This Row],[Column12]])</f>
        <v>428130.42065698467</v>
      </c>
    </row>
    <row r="11" spans="2:22" ht="14.25" customHeight="1" x14ac:dyDescent="0.2">
      <c r="B11" s="91">
        <v>7</v>
      </c>
      <c r="C11" s="92">
        <f>IF(Table_1[[#This Row],[Column1]]&lt;='Buy Vs Rent Calculator'!$D$13*12,'Buy Vs Rent Calculator'!$D$22,0)</f>
        <v>69425.85866924272</v>
      </c>
      <c r="D11" s="92">
        <f>IF(Table_1[[#This Row],[Column1]]&lt;='Buy Vs Rent Calculator'!$D$13*12,-PPMT('Buy Vs Rent Calculator'!$D$12/12,Table_1[[#This Row],[Column1]],'Buy Vs Rent Calculator'!$D$13*12,'Buy Vs Rent Calculator'!$D$21),0)</f>
        <v>13311.151458336011</v>
      </c>
      <c r="E11" s="92">
        <f>IF(Table_1[[#This Row],[Column1]]&lt;='Buy Vs Rent Calculator'!$D$13*12,-IPMT('Buy Vs Rent Calculator'!$D$12/12,Table_1[[#This Row],[Column1]],'Buy Vs Rent Calculator'!$D$13*12,'Buy Vs Rent Calculator'!$D$21),0)</f>
        <v>56114.707210906701</v>
      </c>
      <c r="F11" s="6"/>
      <c r="G11" s="91">
        <v>7</v>
      </c>
      <c r="H11" s="92">
        <f>SUM(D77:D88)</f>
        <v>264668.65120783605</v>
      </c>
      <c r="I11" s="92">
        <f>SUM(E77:E88)</f>
        <v>568441.65282307658</v>
      </c>
      <c r="J11" s="92">
        <f>SUM(Table_1[[#This Row],[Column14]:[Column13]])</f>
        <v>833110.3040309127</v>
      </c>
      <c r="K11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11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11" s="92">
        <f>SUM(Table_1[[#This Row],[Column15]:[Column16]])</f>
        <v>75000</v>
      </c>
      <c r="N11" s="92">
        <f>Table_1[[#This Row],[Column17]]*(1+'Buy Vs Rent Calculator'!$K$9)^('Buy Vs Rent Calculator'!$D$13-Table_1[[#This Row],[Column12]])</f>
        <v>327261.98337394628</v>
      </c>
      <c r="O11" s="92">
        <f>IF(G11&lt;='Buy Vs Rent Calculator'!$D$13,O10*(1+'Buy Vs Rent Calculator'!$H$11),0)</f>
        <v>67004.782031249997</v>
      </c>
      <c r="P11" s="93"/>
      <c r="Q11" s="92">
        <f>IF(Table_1[[#This Row],[Column12]]&lt;='Buy Vs Rent Calculator'!$D$13,Q10*(1+'Buy Vs Rent Calculator'!$H$9),0)</f>
        <v>450272.13525000005</v>
      </c>
      <c r="R11" s="92">
        <f>Table_1[[#This Row],[Column11]]-Table_1[[#This Row],[Column3]]</f>
        <v>382838.16878091265</v>
      </c>
      <c r="S11" s="92">
        <f>IF(Table_1[[#This Row],[Column12]]&lt;='Buy Vs Rent Calculator'!$D$13,R11*(1+'Buy Vs Rent Calculator'!$K$9)^('Buy Vs Rent Calculator'!$D$13-Table_1[[#This Row],[Column12]]),0)</f>
        <v>1670511.7123532144</v>
      </c>
      <c r="T11" s="94">
        <f>IF(Table_1[[#This Row],[Column12]]&lt;='Buy Vs Rent Calculator'!$D$13,((Table_1[[#This Row],[Column3]])-Table_1[[#This Row],[Column19]])*'Buy Vs Rent Calculator'!$D$6*0.8,0)</f>
        <v>91984.164772500008</v>
      </c>
      <c r="U11" s="92">
        <f>T11*(1+'Buy Vs Rent Calculator'!$K$9)^('Buy Vs Rent Calculator'!$D$13-Table_1[[#This Row],[Column12]])</f>
        <v>401372.26936592307</v>
      </c>
    </row>
    <row r="12" spans="2:22" ht="14.25" customHeight="1" x14ac:dyDescent="0.2">
      <c r="B12" s="91">
        <v>8</v>
      </c>
      <c r="C12" s="92">
        <f>IF(Table_1[[#This Row],[Column1]]&lt;='Buy Vs Rent Calculator'!$D$13*12,'Buy Vs Rent Calculator'!$D$22,0)</f>
        <v>69425.85866924272</v>
      </c>
      <c r="D12" s="92">
        <f>IF(Table_1[[#This Row],[Column1]]&lt;='Buy Vs Rent Calculator'!$D$13*12,-PPMT('Buy Vs Rent Calculator'!$D$12/12,Table_1[[#This Row],[Column1]],'Buy Vs Rent Calculator'!$D$13*12,'Buy Vs Rent Calculator'!$D$21),0)</f>
        <v>13405.438781165891</v>
      </c>
      <c r="E12" s="92">
        <f>IF(Table_1[[#This Row],[Column1]]&lt;='Buy Vs Rent Calculator'!$D$13*12,-IPMT('Buy Vs Rent Calculator'!$D$12/12,Table_1[[#This Row],[Column1]],'Buy Vs Rent Calculator'!$D$13*12,'Buy Vs Rent Calculator'!$D$21),0)</f>
        <v>56020.419888076824</v>
      </c>
      <c r="F12" s="6"/>
      <c r="G12" s="91">
        <v>8</v>
      </c>
      <c r="H12" s="92">
        <f>SUM(D89:D100)</f>
        <v>288062.95304947853</v>
      </c>
      <c r="I12" s="92">
        <f>SUM(E89:E100)</f>
        <v>545047.35098143411</v>
      </c>
      <c r="J12" s="92">
        <f>SUM(Table_1[[#This Row],[Column14]:[Column13]])</f>
        <v>833110.3040309127</v>
      </c>
      <c r="K12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12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12" s="92">
        <f>SUM(Table_1[[#This Row],[Column15]:[Column16]])</f>
        <v>75000</v>
      </c>
      <c r="N12" s="92">
        <f>Table_1[[#This Row],[Column17]]*(1+'Buy Vs Rent Calculator'!$K$9)^('Buy Vs Rent Calculator'!$D$13-Table_1[[#This Row],[Column12]])</f>
        <v>292198.1994410234</v>
      </c>
      <c r="O12" s="92">
        <f>IF(G12&lt;='Buy Vs Rent Calculator'!$D$13,O11*(1+'Buy Vs Rent Calculator'!$H$11),0)</f>
        <v>70355.021132812501</v>
      </c>
      <c r="P12" s="93"/>
      <c r="Q12" s="92">
        <f>IF(Table_1[[#This Row],[Column12]]&lt;='Buy Vs Rent Calculator'!$D$13,Q11*(1+'Buy Vs Rent Calculator'!$H$9),0)</f>
        <v>472785.74201250006</v>
      </c>
      <c r="R12" s="92">
        <f>Table_1[[#This Row],[Column11]]-Table_1[[#This Row],[Column3]]</f>
        <v>360324.56201841263</v>
      </c>
      <c r="S12" s="92">
        <f>IF(Table_1[[#This Row],[Column12]]&lt;='Buy Vs Rent Calculator'!$D$13,R12*(1+'Buy Vs Rent Calculator'!$K$9)^('Buy Vs Rent Calculator'!$D$13-Table_1[[#This Row],[Column12]]),0)</f>
        <v>1403815.8431487405</v>
      </c>
      <c r="T12" s="94">
        <f>IF(Table_1[[#This Row],[Column12]]&lt;='Buy Vs Rent Calculator'!$D$13,((Table_1[[#This Row],[Column3]])-Table_1[[#This Row],[Column19]])*'Buy Vs Rent Calculator'!$D$6*0.8,0)</f>
        <v>96583.373011125019</v>
      </c>
      <c r="U12" s="92">
        <f>T12*(1+'Buy Vs Rent Calculator'!$K$9)^('Buy Vs Rent Calculator'!$D$13-Table_1[[#This Row],[Column12]])</f>
        <v>376286.50253055285</v>
      </c>
    </row>
    <row r="13" spans="2:22" ht="14.25" customHeight="1" x14ac:dyDescent="0.2">
      <c r="B13" s="91">
        <v>9</v>
      </c>
      <c r="C13" s="92">
        <f>IF(Table_1[[#This Row],[Column1]]&lt;='Buy Vs Rent Calculator'!$D$13*12,'Buy Vs Rent Calculator'!$D$22,0)</f>
        <v>69425.85866924272</v>
      </c>
      <c r="D13" s="92">
        <f>IF(Table_1[[#This Row],[Column1]]&lt;='Buy Vs Rent Calculator'!$D$13*12,-PPMT('Buy Vs Rent Calculator'!$D$12/12,Table_1[[#This Row],[Column1]],'Buy Vs Rent Calculator'!$D$13*12,'Buy Vs Rent Calculator'!$D$21),0)</f>
        <v>13500.393972532482</v>
      </c>
      <c r="E13" s="92">
        <f>IF(Table_1[[#This Row],[Column1]]&lt;='Buy Vs Rent Calculator'!$D$13*12,-IPMT('Buy Vs Rent Calculator'!$D$12/12,Table_1[[#This Row],[Column1]],'Buy Vs Rent Calculator'!$D$13*12,'Buy Vs Rent Calculator'!$D$21),0)</f>
        <v>55925.464696710231</v>
      </c>
      <c r="F13" s="6"/>
      <c r="G13" s="91">
        <v>9</v>
      </c>
      <c r="H13" s="92">
        <f>SUM(D101:D112)</f>
        <v>313525.09842362959</v>
      </c>
      <c r="I13" s="92">
        <f>SUM(E101:E112)</f>
        <v>519585.20560728299</v>
      </c>
      <c r="J13" s="92">
        <f>SUM(Table_1[[#This Row],[Column14]:[Column13]])</f>
        <v>833110.30403091258</v>
      </c>
      <c r="K13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13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13" s="92">
        <f>SUM(Table_1[[#This Row],[Column15]:[Column16]])</f>
        <v>75000</v>
      </c>
      <c r="N13" s="92">
        <f>Table_1[[#This Row],[Column17]]*(1+'Buy Vs Rent Calculator'!$K$9)^('Buy Vs Rent Calculator'!$D$13-Table_1[[#This Row],[Column12]])</f>
        <v>260891.24950091378</v>
      </c>
      <c r="O13" s="92">
        <f>IF(G13&lt;='Buy Vs Rent Calculator'!$D$13,O12*(1+'Buy Vs Rent Calculator'!$H$11),0)</f>
        <v>73872.772189453128</v>
      </c>
      <c r="P13" s="93"/>
      <c r="Q13" s="92">
        <f>IF(Table_1[[#This Row],[Column12]]&lt;='Buy Vs Rent Calculator'!$D$13,Q12*(1+'Buy Vs Rent Calculator'!$H$9),0)</f>
        <v>496425.02911312511</v>
      </c>
      <c r="R13" s="92">
        <f>Table_1[[#This Row],[Column11]]-Table_1[[#This Row],[Column3]]</f>
        <v>336685.27491778746</v>
      </c>
      <c r="S13" s="92">
        <f>IF(Table_1[[#This Row],[Column12]]&lt;='Buy Vs Rent Calculator'!$D$13,R13*(1+'Buy Vs Rent Calculator'!$K$9)^('Buy Vs Rent Calculator'!$D$13-Table_1[[#This Row],[Column12]]),0)</f>
        <v>1171176.5608248031</v>
      </c>
      <c r="T13" s="94">
        <f>IF(Table_1[[#This Row],[Column12]]&lt;='Buy Vs Rent Calculator'!$D$13,((Table_1[[#This Row],[Column3]])-Table_1[[#This Row],[Column19]])*'Buy Vs Rent Calculator'!$D$6*0.8,0)</f>
        <v>101412.54166168127</v>
      </c>
      <c r="U13" s="92">
        <f>T13*(1+'Buy Vs Rent Calculator'!$K$9)^('Buy Vs Rent Calculator'!$D$13-Table_1[[#This Row],[Column12]])</f>
        <v>352768.59612239338</v>
      </c>
    </row>
    <row r="14" spans="2:22" ht="14.25" customHeight="1" x14ac:dyDescent="0.2">
      <c r="B14" s="91">
        <v>10</v>
      </c>
      <c r="C14" s="92">
        <f>IF(Table_1[[#This Row],[Column1]]&lt;='Buy Vs Rent Calculator'!$D$13*12,'Buy Vs Rent Calculator'!$D$22,0)</f>
        <v>69425.85866924272</v>
      </c>
      <c r="D14" s="92">
        <f>IF(Table_1[[#This Row],[Column1]]&lt;='Buy Vs Rent Calculator'!$D$13*12,-PPMT('Buy Vs Rent Calculator'!$D$12/12,Table_1[[#This Row],[Column1]],'Buy Vs Rent Calculator'!$D$13*12,'Buy Vs Rent Calculator'!$D$21),0)</f>
        <v>13596.021763171255</v>
      </c>
      <c r="E14" s="92">
        <f>IF(Table_1[[#This Row],[Column1]]&lt;='Buy Vs Rent Calculator'!$D$13*12,-IPMT('Buy Vs Rent Calculator'!$D$12/12,Table_1[[#This Row],[Column1]],'Buy Vs Rent Calculator'!$D$13*12,'Buy Vs Rent Calculator'!$D$21),0)</f>
        <v>55829.836906071461</v>
      </c>
      <c r="F14" s="6"/>
      <c r="G14" s="91">
        <v>10</v>
      </c>
      <c r="H14" s="92">
        <f>SUM(D113:D124)</f>
        <v>341237.86589337181</v>
      </c>
      <c r="I14" s="92">
        <f>SUM(E113:E124)</f>
        <v>491872.43813754083</v>
      </c>
      <c r="J14" s="92">
        <f>SUM(Table_1[[#This Row],[Column14]:[Column13]])</f>
        <v>833110.3040309127</v>
      </c>
      <c r="K14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14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14" s="92">
        <f>SUM(Table_1[[#This Row],[Column15]:[Column16]])</f>
        <v>75000</v>
      </c>
      <c r="N14" s="92">
        <f>Table_1[[#This Row],[Column17]]*(1+'Buy Vs Rent Calculator'!$K$9)^('Buy Vs Rent Calculator'!$D$13-Table_1[[#This Row],[Column12]])</f>
        <v>232938.61562581584</v>
      </c>
      <c r="O14" s="92">
        <f>IF(G14&lt;='Buy Vs Rent Calculator'!$D$13,O13*(1+'Buy Vs Rent Calculator'!$H$11),0)</f>
        <v>77566.41079892579</v>
      </c>
      <c r="P14" s="93"/>
      <c r="Q14" s="92">
        <f>IF(Table_1[[#This Row],[Column12]]&lt;='Buy Vs Rent Calculator'!$D$13,Q13*(1+'Buy Vs Rent Calculator'!$H$9),0)</f>
        <v>521246.28056878137</v>
      </c>
      <c r="R14" s="92">
        <f>Table_1[[#This Row],[Column11]]-Table_1[[#This Row],[Column3]]</f>
        <v>311864.02346213133</v>
      </c>
      <c r="S14" s="92">
        <f>IF(Table_1[[#This Row],[Column12]]&lt;='Buy Vs Rent Calculator'!$D$13,R14*(1+'Buy Vs Rent Calculator'!$K$9)^('Buy Vs Rent Calculator'!$D$13-Table_1[[#This Row],[Column12]]),0)</f>
        <v>968602.3185168776</v>
      </c>
      <c r="T14" s="94">
        <f>IF(Table_1[[#This Row],[Column12]]&lt;='Buy Vs Rent Calculator'!$D$13,((Table_1[[#This Row],[Column3]])-Table_1[[#This Row],[Column19]])*'Buy Vs Rent Calculator'!$D$6*0.8,0)</f>
        <v>106483.16874476534</v>
      </c>
      <c r="U14" s="92">
        <f>T14*(1+'Buy Vs Rent Calculator'!$K$9)^('Buy Vs Rent Calculator'!$D$13-Table_1[[#This Row],[Column12]])</f>
        <v>330720.55886474374</v>
      </c>
    </row>
    <row r="15" spans="2:22" ht="14.25" customHeight="1" x14ac:dyDescent="0.2">
      <c r="B15" s="91">
        <v>11</v>
      </c>
      <c r="C15" s="92">
        <f>IF(Table_1[[#This Row],[Column1]]&lt;='Buy Vs Rent Calculator'!$D$13*12,'Buy Vs Rent Calculator'!$D$22,0)</f>
        <v>69425.85866924272</v>
      </c>
      <c r="D15" s="92">
        <f>IF(Table_1[[#This Row],[Column1]]&lt;='Buy Vs Rent Calculator'!$D$13*12,-PPMT('Buy Vs Rent Calculator'!$D$12/12,Table_1[[#This Row],[Column1]],'Buy Vs Rent Calculator'!$D$13*12,'Buy Vs Rent Calculator'!$D$21),0)</f>
        <v>13692.326917327053</v>
      </c>
      <c r="E15" s="92">
        <f>IF(Table_1[[#This Row],[Column1]]&lt;='Buy Vs Rent Calculator'!$D$13*12,-IPMT('Buy Vs Rent Calculator'!$D$12/12,Table_1[[#This Row],[Column1]],'Buy Vs Rent Calculator'!$D$13*12,'Buy Vs Rent Calculator'!$D$21),0)</f>
        <v>55733.531751915667</v>
      </c>
      <c r="F15" s="6"/>
      <c r="G15" s="91">
        <v>11</v>
      </c>
      <c r="H15" s="92">
        <f>SUM(D125:D136)</f>
        <v>371400.18998455652</v>
      </c>
      <c r="I15" s="92">
        <f>SUM(E125:E136)</f>
        <v>461710.11404635618</v>
      </c>
      <c r="J15" s="92">
        <f>SUM(Table_1[[#This Row],[Column14]:[Column13]])</f>
        <v>833110.3040309127</v>
      </c>
      <c r="K15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15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15" s="92">
        <f>SUM(Table_1[[#This Row],[Column15]:[Column16]])</f>
        <v>75000</v>
      </c>
      <c r="N15" s="92">
        <f>Table_1[[#This Row],[Column17]]*(1+'Buy Vs Rent Calculator'!$K$9)^('Buy Vs Rent Calculator'!$D$13-Table_1[[#This Row],[Column12]])</f>
        <v>207980.90680876412</v>
      </c>
      <c r="O15" s="92">
        <f>IF(G15&lt;='Buy Vs Rent Calculator'!$D$13,O14*(1+'Buy Vs Rent Calculator'!$H$11),0)</f>
        <v>81444.73133887208</v>
      </c>
      <c r="P15" s="93"/>
      <c r="Q15" s="92">
        <f>IF(Table_1[[#This Row],[Column12]]&lt;='Buy Vs Rent Calculator'!$D$13,Q14*(1+'Buy Vs Rent Calculator'!$H$9),0)</f>
        <v>547308.59459722042</v>
      </c>
      <c r="R15" s="92">
        <f>Table_1[[#This Row],[Column11]]-Table_1[[#This Row],[Column3]]</f>
        <v>285801.70943369227</v>
      </c>
      <c r="S15" s="92">
        <f>IF(Table_1[[#This Row],[Column12]]&lt;='Buy Vs Rent Calculator'!$D$13,R15*(1+'Buy Vs Rent Calculator'!$K$9)^('Buy Vs Rent Calculator'!$D$13-Table_1[[#This Row],[Column12]]),0)</f>
        <v>792550.64927352313</v>
      </c>
      <c r="T15" s="94">
        <f>IF(Table_1[[#This Row],[Column12]]&lt;='Buy Vs Rent Calculator'!$D$13,((Table_1[[#This Row],[Column3]])-Table_1[[#This Row],[Column19]])*'Buy Vs Rent Calculator'!$D$6*0.8,0)</f>
        <v>111807.3271820036</v>
      </c>
      <c r="U15" s="92">
        <f>T15*(1+'Buy Vs Rent Calculator'!$K$9)^('Buy Vs Rent Calculator'!$D$13-Table_1[[#This Row],[Column12]])</f>
        <v>310050.52393569722</v>
      </c>
    </row>
    <row r="16" spans="2:22" ht="14.25" customHeight="1" x14ac:dyDescent="0.2">
      <c r="B16" s="91">
        <v>12</v>
      </c>
      <c r="C16" s="92">
        <f>IF(Table_1[[#This Row],[Column1]]&lt;='Buy Vs Rent Calculator'!$D$13*12,'Buy Vs Rent Calculator'!$D$22,0)</f>
        <v>69425.85866924272</v>
      </c>
      <c r="D16" s="92">
        <f>IF(Table_1[[#This Row],[Column1]]&lt;='Buy Vs Rent Calculator'!$D$13*12,-PPMT('Buy Vs Rent Calculator'!$D$12/12,Table_1[[#This Row],[Column1]],'Buy Vs Rent Calculator'!$D$13*12,'Buy Vs Rent Calculator'!$D$21),0)</f>
        <v>13789.314232991454</v>
      </c>
      <c r="E16" s="92">
        <f>IF(Table_1[[#This Row],[Column1]]&lt;='Buy Vs Rent Calculator'!$D$13*12,-IPMT('Buy Vs Rent Calculator'!$D$12/12,Table_1[[#This Row],[Column1]],'Buy Vs Rent Calculator'!$D$13*12,'Buy Vs Rent Calculator'!$D$21),0)</f>
        <v>55636.544436251264</v>
      </c>
      <c r="F16" s="6"/>
      <c r="G16" s="91">
        <v>12</v>
      </c>
      <c r="H16" s="92">
        <f>SUM(D137:D148)</f>
        <v>404228.58922598814</v>
      </c>
      <c r="I16" s="92">
        <f>SUM(E137:E148)</f>
        <v>428881.71480492444</v>
      </c>
      <c r="J16" s="92">
        <f>SUM(Table_1[[#This Row],[Column14]:[Column13]])</f>
        <v>833110.30403091258</v>
      </c>
      <c r="K16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16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16" s="92">
        <f>SUM(Table_1[[#This Row],[Column15]:[Column16]])</f>
        <v>75000</v>
      </c>
      <c r="N16" s="92">
        <f>Table_1[[#This Row],[Column17]]*(1+'Buy Vs Rent Calculator'!$K$9)^('Buy Vs Rent Calculator'!$D$13-Table_1[[#This Row],[Column12]])</f>
        <v>185697.23822211081</v>
      </c>
      <c r="O16" s="92">
        <f>IF(G16&lt;='Buy Vs Rent Calculator'!$D$13,O15*(1+'Buy Vs Rent Calculator'!$H$11),0)</f>
        <v>85516.967905815691</v>
      </c>
      <c r="P16" s="93"/>
      <c r="Q16" s="92">
        <f>IF(Table_1[[#This Row],[Column12]]&lt;='Buy Vs Rent Calculator'!$D$13,Q15*(1+'Buy Vs Rent Calculator'!$H$9),0)</f>
        <v>574674.02432708151</v>
      </c>
      <c r="R16" s="92">
        <f>Table_1[[#This Row],[Column11]]-Table_1[[#This Row],[Column3]]</f>
        <v>258436.27970383107</v>
      </c>
      <c r="S16" s="92">
        <f>IF(Table_1[[#This Row],[Column12]]&lt;='Buy Vs Rent Calculator'!$D$13,R16*(1+'Buy Vs Rent Calculator'!$K$9)^('Buy Vs Rent Calculator'!$D$13-Table_1[[#This Row],[Column12]]),0)</f>
        <v>639878.71196531178</v>
      </c>
      <c r="T16" s="94">
        <f>IF(Table_1[[#This Row],[Column12]]&lt;='Buy Vs Rent Calculator'!$D$13,((Table_1[[#This Row],[Column3]])-Table_1[[#This Row],[Column19]])*'Buy Vs Rent Calculator'!$D$6*0.8,0)</f>
        <v>117397.6935411038</v>
      </c>
      <c r="U16" s="92">
        <f>T16*(1+'Buy Vs Rent Calculator'!$K$9)^('Buy Vs Rent Calculator'!$D$13-Table_1[[#This Row],[Column12]])</f>
        <v>290672.36618971615</v>
      </c>
    </row>
    <row r="17" spans="2:21" ht="14.25" customHeight="1" x14ac:dyDescent="0.2">
      <c r="B17" s="91">
        <v>13</v>
      </c>
      <c r="C17" s="92">
        <f>IF(Table_1[[#This Row],[Column1]]&lt;='Buy Vs Rent Calculator'!$D$13*12,'Buy Vs Rent Calculator'!$D$22,0)</f>
        <v>69425.85866924272</v>
      </c>
      <c r="D17" s="92">
        <f>IF(Table_1[[#This Row],[Column1]]&lt;='Buy Vs Rent Calculator'!$D$13*12,-PPMT('Buy Vs Rent Calculator'!$D$12/12,Table_1[[#This Row],[Column1]],'Buy Vs Rent Calculator'!$D$13*12,'Buy Vs Rent Calculator'!$D$21),0)</f>
        <v>13886.988542141809</v>
      </c>
      <c r="E17" s="92">
        <f>IF(Table_1[[#This Row],[Column1]]&lt;='Buy Vs Rent Calculator'!$D$13*12,-IPMT('Buy Vs Rent Calculator'!$D$12/12,Table_1[[#This Row],[Column1]],'Buy Vs Rent Calculator'!$D$13*12,'Buy Vs Rent Calculator'!$D$21),0)</f>
        <v>55538.870127100912</v>
      </c>
      <c r="F17" s="6"/>
      <c r="G17" s="91">
        <v>13</v>
      </c>
      <c r="H17" s="92">
        <f>SUM(D149:D160)</f>
        <v>439958.7204153752</v>
      </c>
      <c r="I17" s="92">
        <f>SUM(E149:E160)</f>
        <v>393151.58361553733</v>
      </c>
      <c r="J17" s="92">
        <f>SUM(Table_1[[#This Row],[Column14]:[Column13]])</f>
        <v>833110.30403091246</v>
      </c>
      <c r="K17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17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17" s="92">
        <f>SUM(Table_1[[#This Row],[Column15]:[Column16]])</f>
        <v>75000</v>
      </c>
      <c r="N17" s="92">
        <f>Table_1[[#This Row],[Column17]]*(1+'Buy Vs Rent Calculator'!$K$9)^('Buy Vs Rent Calculator'!$D$13-Table_1[[#This Row],[Column12]])</f>
        <v>165801.10555545607</v>
      </c>
      <c r="O17" s="92">
        <f>IF(G17&lt;='Buy Vs Rent Calculator'!$D$13,O16*(1+'Buy Vs Rent Calculator'!$H$11),0)</f>
        <v>89792.816301106475</v>
      </c>
      <c r="P17" s="93"/>
      <c r="Q17" s="92">
        <f>IF(Table_1[[#This Row],[Column12]]&lt;='Buy Vs Rent Calculator'!$D$13,Q16*(1+'Buy Vs Rent Calculator'!$H$9),0)</f>
        <v>603407.72554343566</v>
      </c>
      <c r="R17" s="92">
        <f>Table_1[[#This Row],[Column11]]-Table_1[[#This Row],[Column3]]</f>
        <v>229702.5784874768</v>
      </c>
      <c r="S17" s="92">
        <f>IF(Table_1[[#This Row],[Column12]]&lt;='Buy Vs Rent Calculator'!$D$13,R17*(1+'Buy Vs Rent Calculator'!$K$9)^('Buy Vs Rent Calculator'!$D$13-Table_1[[#This Row],[Column12]]),0)</f>
        <v>507799.21949550102</v>
      </c>
      <c r="T17" s="94">
        <f>IF(Table_1[[#This Row],[Column12]]&lt;='Buy Vs Rent Calculator'!$D$13,((Table_1[[#This Row],[Column3]])-Table_1[[#This Row],[Column19]])*'Buy Vs Rent Calculator'!$D$6*0.8,0)</f>
        <v>123267.57821815902</v>
      </c>
      <c r="U17" s="92">
        <f>T17*(1+'Buy Vs Rent Calculator'!$K$9)^('Buy Vs Rent Calculator'!$D$13-Table_1[[#This Row],[Column12]])</f>
        <v>272505.34330285894</v>
      </c>
    </row>
    <row r="18" spans="2:21" ht="14.25" customHeight="1" x14ac:dyDescent="0.2">
      <c r="B18" s="91">
        <v>14</v>
      </c>
      <c r="C18" s="92">
        <f>IF(Table_1[[#This Row],[Column1]]&lt;='Buy Vs Rent Calculator'!$D$13*12,'Buy Vs Rent Calculator'!$D$22,0)</f>
        <v>69425.85866924272</v>
      </c>
      <c r="D18" s="92">
        <f>IF(Table_1[[#This Row],[Column1]]&lt;='Buy Vs Rent Calculator'!$D$13*12,-PPMT('Buy Vs Rent Calculator'!$D$12/12,Table_1[[#This Row],[Column1]],'Buy Vs Rent Calculator'!$D$13*12,'Buy Vs Rent Calculator'!$D$21),0)</f>
        <v>13985.354710981979</v>
      </c>
      <c r="E18" s="92">
        <f>IF(Table_1[[#This Row],[Column1]]&lt;='Buy Vs Rent Calculator'!$D$13*12,-IPMT('Buy Vs Rent Calculator'!$D$12/12,Table_1[[#This Row],[Column1]],'Buy Vs Rent Calculator'!$D$13*12,'Buy Vs Rent Calculator'!$D$21),0)</f>
        <v>55440.503958260735</v>
      </c>
      <c r="F18" s="6"/>
      <c r="G18" s="91">
        <v>14</v>
      </c>
      <c r="H18" s="92">
        <f>SUM(D161:D172)</f>
        <v>478847.07026825484</v>
      </c>
      <c r="I18" s="92">
        <f>SUM(E161:E172)</f>
        <v>354263.23376265779</v>
      </c>
      <c r="J18" s="92">
        <f>SUM(Table_1[[#This Row],[Column14]:[Column13]])</f>
        <v>833110.3040309127</v>
      </c>
      <c r="K18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18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18" s="92">
        <f>SUM(Table_1[[#This Row],[Column15]:[Column16]])</f>
        <v>75000</v>
      </c>
      <c r="N18" s="92">
        <f>Table_1[[#This Row],[Column17]]*(1+'Buy Vs Rent Calculator'!$K$9)^('Buy Vs Rent Calculator'!$D$13-Table_1[[#This Row],[Column12]])</f>
        <v>148036.70138880005</v>
      </c>
      <c r="O18" s="92">
        <f>IF(G18&lt;='Buy Vs Rent Calculator'!$D$13,O17*(1+'Buy Vs Rent Calculator'!$H$11),0)</f>
        <v>94282.457116161808</v>
      </c>
      <c r="P18" s="93"/>
      <c r="Q18" s="92">
        <f>IF(Table_1[[#This Row],[Column12]]&lt;='Buy Vs Rent Calculator'!$D$13,Q17*(1+'Buy Vs Rent Calculator'!$H$9),0)</f>
        <v>633578.11182060745</v>
      </c>
      <c r="R18" s="92">
        <f>Table_1[[#This Row],[Column11]]-Table_1[[#This Row],[Column3]]</f>
        <v>199532.19221030525</v>
      </c>
      <c r="S18" s="92">
        <f>IF(Table_1[[#This Row],[Column12]]&lt;='Buy Vs Rent Calculator'!$D$13,R18*(1+'Buy Vs Rent Calculator'!$K$9)^('Buy Vs Rent Calculator'!$D$13-Table_1[[#This Row],[Column12]]),0)</f>
        <v>393841.16740919487</v>
      </c>
      <c r="T18" s="94">
        <f>IF(Table_1[[#This Row],[Column12]]&lt;='Buy Vs Rent Calculator'!$D$13,((Table_1[[#This Row],[Column3]])-Table_1[[#This Row],[Column19]])*'Buy Vs Rent Calculator'!$D$6*0.8,0)</f>
        <v>129430.95712906696</v>
      </c>
      <c r="U18" s="92">
        <f>T18*(1+'Buy Vs Rent Calculator'!$K$9)^('Buy Vs Rent Calculator'!$D$13-Table_1[[#This Row],[Column12]])</f>
        <v>255473.75934643025</v>
      </c>
    </row>
    <row r="19" spans="2:21" ht="14.25" customHeight="1" x14ac:dyDescent="0.2">
      <c r="B19" s="91">
        <v>15</v>
      </c>
      <c r="C19" s="92">
        <f>IF(Table_1[[#This Row],[Column1]]&lt;='Buy Vs Rent Calculator'!$D$13*12,'Buy Vs Rent Calculator'!$D$22,0)</f>
        <v>69425.85866924272</v>
      </c>
      <c r="D19" s="92">
        <f>IF(Table_1[[#This Row],[Column1]]&lt;='Buy Vs Rent Calculator'!$D$13*12,-PPMT('Buy Vs Rent Calculator'!$D$12/12,Table_1[[#This Row],[Column1]],'Buy Vs Rent Calculator'!$D$13*12,'Buy Vs Rent Calculator'!$D$21),0)</f>
        <v>14084.417640184769</v>
      </c>
      <c r="E19" s="92">
        <f>IF(Table_1[[#This Row],[Column1]]&lt;='Buy Vs Rent Calculator'!$D$13*12,-IPMT('Buy Vs Rent Calculator'!$D$12/12,Table_1[[#This Row],[Column1]],'Buy Vs Rent Calculator'!$D$13*12,'Buy Vs Rent Calculator'!$D$21),0)</f>
        <v>55341.441029057947</v>
      </c>
      <c r="F19" s="6"/>
      <c r="G19" s="91">
        <v>15</v>
      </c>
      <c r="H19" s="92">
        <f>SUM(D173:D184)</f>
        <v>521172.79659330013</v>
      </c>
      <c r="I19" s="92">
        <f>SUM(E173:E184)</f>
        <v>311937.50743761245</v>
      </c>
      <c r="J19" s="92">
        <f>SUM(Table_1[[#This Row],[Column14]:[Column13]])</f>
        <v>833110.30403091258</v>
      </c>
      <c r="K19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19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19" s="92">
        <f>SUM(Table_1[[#This Row],[Column15]:[Column16]])</f>
        <v>75000</v>
      </c>
      <c r="N19" s="92">
        <f>Table_1[[#This Row],[Column17]]*(1+'Buy Vs Rent Calculator'!$K$9)^('Buy Vs Rent Calculator'!$D$13-Table_1[[#This Row],[Column12]])</f>
        <v>132175.62624000004</v>
      </c>
      <c r="O19" s="92">
        <f>IF(G19&lt;='Buy Vs Rent Calculator'!$D$13,O18*(1+'Buy Vs Rent Calculator'!$H$11),0)</f>
        <v>98996.579971969899</v>
      </c>
      <c r="P19" s="93"/>
      <c r="Q19" s="92">
        <f>IF(Table_1[[#This Row],[Column12]]&lt;='Buy Vs Rent Calculator'!$D$13,Q18*(1+'Buy Vs Rent Calculator'!$H$9),0)</f>
        <v>665257.01741163782</v>
      </c>
      <c r="R19" s="92">
        <f>Table_1[[#This Row],[Column11]]-Table_1[[#This Row],[Column3]]</f>
        <v>167853.28661927476</v>
      </c>
      <c r="S19" s="92">
        <f>IF(Table_1[[#This Row],[Column12]]&lt;='Buy Vs Rent Calculator'!$D$13,R19*(1+'Buy Vs Rent Calculator'!$K$9)^('Buy Vs Rent Calculator'!$D$13-Table_1[[#This Row],[Column12]]),0)</f>
        <v>295814.84367126483</v>
      </c>
      <c r="T19" s="94">
        <f>IF(Table_1[[#This Row],[Column12]]&lt;='Buy Vs Rent Calculator'!$D$13,((Table_1[[#This Row],[Column3]])-Table_1[[#This Row],[Column19]])*'Buy Vs Rent Calculator'!$D$6*0.8,0)</f>
        <v>135902.5049855203</v>
      </c>
      <c r="U19" s="92">
        <f>T19*(1+'Buy Vs Rent Calculator'!$K$9)^('Buy Vs Rent Calculator'!$D$13-Table_1[[#This Row],[Column12]])</f>
        <v>239506.6493872783</v>
      </c>
    </row>
    <row r="20" spans="2:21" ht="14.25" customHeight="1" x14ac:dyDescent="0.2">
      <c r="B20" s="91">
        <v>16</v>
      </c>
      <c r="C20" s="92">
        <f>IF(Table_1[[#This Row],[Column1]]&lt;='Buy Vs Rent Calculator'!$D$13*12,'Buy Vs Rent Calculator'!$D$22,0)</f>
        <v>69425.85866924272</v>
      </c>
      <c r="D20" s="92">
        <f>IF(Table_1[[#This Row],[Column1]]&lt;='Buy Vs Rent Calculator'!$D$13*12,-PPMT('Buy Vs Rent Calculator'!$D$12/12,Table_1[[#This Row],[Column1]],'Buy Vs Rent Calculator'!$D$13*12,'Buy Vs Rent Calculator'!$D$21),0)</f>
        <v>14184.182265136076</v>
      </c>
      <c r="E20" s="92">
        <f>IF(Table_1[[#This Row],[Column1]]&lt;='Buy Vs Rent Calculator'!$D$13*12,-IPMT('Buy Vs Rent Calculator'!$D$12/12,Table_1[[#This Row],[Column1]],'Buy Vs Rent Calculator'!$D$13*12,'Buy Vs Rent Calculator'!$D$21),0)</f>
        <v>55241.676404106642</v>
      </c>
      <c r="F20" s="6"/>
      <c r="G20" s="91">
        <v>16</v>
      </c>
      <c r="H20" s="92">
        <f>SUM(D185:D196)</f>
        <v>567239.73221078003</v>
      </c>
      <c r="I20" s="92">
        <f>SUM(E185:E196)</f>
        <v>265870.57182013261</v>
      </c>
      <c r="J20" s="92">
        <f>SUM(Table_1[[#This Row],[Column14]:[Column13]])</f>
        <v>833110.3040309127</v>
      </c>
      <c r="K20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20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20" s="92">
        <f>SUM(Table_1[[#This Row],[Column15]:[Column16]])</f>
        <v>75000</v>
      </c>
      <c r="N20" s="92">
        <f>Table_1[[#This Row],[Column17]]*(1+'Buy Vs Rent Calculator'!$K$9)^('Buy Vs Rent Calculator'!$D$13-Table_1[[#This Row],[Column12]])</f>
        <v>118013.95200000003</v>
      </c>
      <c r="O20" s="92">
        <f>IF(G20&lt;='Buy Vs Rent Calculator'!$D$13,O19*(1+'Buy Vs Rent Calculator'!$H$11),0)</f>
        <v>103946.4089705684</v>
      </c>
      <c r="P20" s="93"/>
      <c r="Q20" s="92">
        <f>IF(Table_1[[#This Row],[Column12]]&lt;='Buy Vs Rent Calculator'!$D$13,Q19*(1+'Buy Vs Rent Calculator'!$H$9),0)</f>
        <v>698519.86828221974</v>
      </c>
      <c r="R20" s="92">
        <f>Table_1[[#This Row],[Column11]]-Table_1[[#This Row],[Column3]]</f>
        <v>134590.43574869295</v>
      </c>
      <c r="S20" s="92">
        <f>IF(Table_1[[#This Row],[Column12]]&lt;='Buy Vs Rent Calculator'!$D$13,R20*(1+'Buy Vs Rent Calculator'!$K$9)^('Buy Vs Rent Calculator'!$D$13-Table_1[[#This Row],[Column12]]),0)</f>
        <v>211780.6563214045</v>
      </c>
      <c r="T20" s="94">
        <f>IF(Table_1[[#This Row],[Column12]]&lt;='Buy Vs Rent Calculator'!$D$13,((Table_1[[#This Row],[Column3]])-Table_1[[#This Row],[Column19]])*'Buy Vs Rent Calculator'!$D$6*0.8,0)</f>
        <v>142697.63023479629</v>
      </c>
      <c r="U20" s="92">
        <f>T20*(1+'Buy Vs Rent Calculator'!$K$9)^('Buy Vs Rent Calculator'!$D$13-Table_1[[#This Row],[Column12]])</f>
        <v>224537.48380057336</v>
      </c>
    </row>
    <row r="21" spans="2:21" ht="14.25" customHeight="1" x14ac:dyDescent="0.2">
      <c r="B21" s="91">
        <v>17</v>
      </c>
      <c r="C21" s="92">
        <f>IF(Table_1[[#This Row],[Column1]]&lt;='Buy Vs Rent Calculator'!$D$13*12,'Buy Vs Rent Calculator'!$D$22,0)</f>
        <v>69425.85866924272</v>
      </c>
      <c r="D21" s="92">
        <f>IF(Table_1[[#This Row],[Column1]]&lt;='Buy Vs Rent Calculator'!$D$13*12,-PPMT('Buy Vs Rent Calculator'!$D$12/12,Table_1[[#This Row],[Column1]],'Buy Vs Rent Calculator'!$D$13*12,'Buy Vs Rent Calculator'!$D$21),0)</f>
        <v>14284.65355618079</v>
      </c>
      <c r="E21" s="92">
        <f>IF(Table_1[[#This Row],[Column1]]&lt;='Buy Vs Rent Calculator'!$D$13*12,-IPMT('Buy Vs Rent Calculator'!$D$12/12,Table_1[[#This Row],[Column1]],'Buy Vs Rent Calculator'!$D$13*12,'Buy Vs Rent Calculator'!$D$21),0)</f>
        <v>55141.205113061929</v>
      </c>
      <c r="F21" s="6"/>
      <c r="G21" s="91">
        <v>17</v>
      </c>
      <c r="H21" s="92">
        <f>SUM(D197:D208)</f>
        <v>617378.5659991866</v>
      </c>
      <c r="I21" s="92">
        <f>SUM(E197:E208)</f>
        <v>215731.73803172595</v>
      </c>
      <c r="J21" s="92">
        <f>SUM(Table_1[[#This Row],[Column14]:[Column13]])</f>
        <v>833110.30403091258</v>
      </c>
      <c r="K21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60000</v>
      </c>
      <c r="L21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21" s="92">
        <f>SUM(Table_1[[#This Row],[Column15]:[Column16]])</f>
        <v>75000</v>
      </c>
      <c r="N21" s="92">
        <f>Table_1[[#This Row],[Column17]]*(1+'Buy Vs Rent Calculator'!$K$9)^('Buy Vs Rent Calculator'!$D$13-Table_1[[#This Row],[Column12]])</f>
        <v>105369.60000000003</v>
      </c>
      <c r="O21" s="92">
        <f>IF(G21&lt;='Buy Vs Rent Calculator'!$D$13,O20*(1+'Buy Vs Rent Calculator'!$H$11),0)</f>
        <v>109143.72941909682</v>
      </c>
      <c r="P21" s="93"/>
      <c r="Q21" s="92">
        <f>IF(Table_1[[#This Row],[Column12]]&lt;='Buy Vs Rent Calculator'!$D$13,Q20*(1+'Buy Vs Rent Calculator'!$H$9),0)</f>
        <v>733445.86169633071</v>
      </c>
      <c r="R21" s="92">
        <f>Table_1[[#This Row],[Column11]]-Table_1[[#This Row],[Column3]]</f>
        <v>99664.442334581865</v>
      </c>
      <c r="S21" s="92">
        <f>IF(Table_1[[#This Row],[Column12]]&lt;='Buy Vs Rent Calculator'!$D$13,R21*(1+'Buy Vs Rent Calculator'!$K$9)^('Buy Vs Rent Calculator'!$D$13-Table_1[[#This Row],[Column12]]),0)</f>
        <v>140021.36564023947</v>
      </c>
      <c r="T21" s="94">
        <f>IF(Table_1[[#This Row],[Column12]]&lt;='Buy Vs Rent Calculator'!$D$13,((Table_1[[#This Row],[Column3]])-Table_1[[#This Row],[Column19]])*'Buy Vs Rent Calculator'!$D$6*0.8,0)</f>
        <v>149832.51174653613</v>
      </c>
      <c r="U21" s="92">
        <f>T21*(1+'Buy Vs Rent Calculator'!$K$9)^('Buy Vs Rent Calculator'!$D$13-Table_1[[#This Row],[Column12]])</f>
        <v>210503.89106303756</v>
      </c>
    </row>
    <row r="22" spans="2:21" ht="14.25" customHeight="1" x14ac:dyDescent="0.2">
      <c r="B22" s="91">
        <v>18</v>
      </c>
      <c r="C22" s="92">
        <f>IF(Table_1[[#This Row],[Column1]]&lt;='Buy Vs Rent Calculator'!$D$13*12,'Buy Vs Rent Calculator'!$D$22,0)</f>
        <v>69425.85866924272</v>
      </c>
      <c r="D22" s="92">
        <f>IF(Table_1[[#This Row],[Column1]]&lt;='Buy Vs Rent Calculator'!$D$13*12,-PPMT('Buy Vs Rent Calculator'!$D$12/12,Table_1[[#This Row],[Column1]],'Buy Vs Rent Calculator'!$D$13*12,'Buy Vs Rent Calculator'!$D$21),0)</f>
        <v>14385.836518870405</v>
      </c>
      <c r="E22" s="92">
        <f>IF(Table_1[[#This Row],[Column1]]&lt;='Buy Vs Rent Calculator'!$D$13*12,-IPMT('Buy Vs Rent Calculator'!$D$12/12,Table_1[[#This Row],[Column1]],'Buy Vs Rent Calculator'!$D$13*12,'Buy Vs Rent Calculator'!$D$21),0)</f>
        <v>55040.022150372308</v>
      </c>
      <c r="F22" s="6"/>
      <c r="G22" s="91">
        <v>18</v>
      </c>
      <c r="H22" s="92">
        <f>SUM(D209:D220)</f>
        <v>671949.21672655072</v>
      </c>
      <c r="I22" s="92">
        <f>SUM(E209:E220)</f>
        <v>161161.08730436186</v>
      </c>
      <c r="J22" s="92">
        <f>SUM(Table_1[[#This Row],[Column14]:[Column13]])</f>
        <v>833110.30403091258</v>
      </c>
      <c r="K22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48348.326191308559</v>
      </c>
      <c r="L22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22" s="92">
        <f>SUM(Table_1[[#This Row],[Column15]:[Column16]])</f>
        <v>63348.326191308559</v>
      </c>
      <c r="N22" s="92">
        <f>Table_1[[#This Row],[Column17]]*(1+'Buy Vs Rent Calculator'!$K$9)^('Buy Vs Rent Calculator'!$D$13-Table_1[[#This Row],[Column12]])</f>
        <v>79464.140374377472</v>
      </c>
      <c r="O22" s="92">
        <f>IF(G22&lt;='Buy Vs Rent Calculator'!$D$13,O21*(1+'Buy Vs Rent Calculator'!$H$11),0)</f>
        <v>114600.91589005166</v>
      </c>
      <c r="P22" s="93"/>
      <c r="Q22" s="92">
        <f>IF(Table_1[[#This Row],[Column12]]&lt;='Buy Vs Rent Calculator'!$D$13,Q21*(1+'Buy Vs Rent Calculator'!$H$9),0)</f>
        <v>770118.15478114726</v>
      </c>
      <c r="R22" s="92">
        <f>Table_1[[#This Row],[Column11]]-Table_1[[#This Row],[Column3]]</f>
        <v>62992.149249765323</v>
      </c>
      <c r="S22" s="92">
        <f>IF(Table_1[[#This Row],[Column12]]&lt;='Buy Vs Rent Calculator'!$D$13,R22*(1+'Buy Vs Rent Calculator'!$K$9)^('Buy Vs Rent Calculator'!$D$13-Table_1[[#This Row],[Column12]]),0)</f>
        <v>79017.352018905629</v>
      </c>
      <c r="T22" s="94">
        <f>IF(Table_1[[#This Row],[Column12]]&lt;='Buy Vs Rent Calculator'!$D$13,((Table_1[[#This Row],[Column3]])-Table_1[[#This Row],[Column19]])*'Buy Vs Rent Calculator'!$D$6*0.8,0)</f>
        <v>157324.13733386295</v>
      </c>
      <c r="U22" s="92">
        <f>T22*(1+'Buy Vs Rent Calculator'!$K$9)^('Buy Vs Rent Calculator'!$D$13-Table_1[[#This Row],[Column12]])</f>
        <v>197347.3978715977</v>
      </c>
    </row>
    <row r="23" spans="2:21" ht="14.25" customHeight="1" x14ac:dyDescent="0.2">
      <c r="B23" s="91">
        <v>19</v>
      </c>
      <c r="C23" s="92">
        <f>IF(Table_1[[#This Row],[Column1]]&lt;='Buy Vs Rent Calculator'!$D$13*12,'Buy Vs Rent Calculator'!$D$22,0)</f>
        <v>69425.85866924272</v>
      </c>
      <c r="D23" s="92">
        <f>IF(Table_1[[#This Row],[Column1]]&lt;='Buy Vs Rent Calculator'!$D$13*12,-PPMT('Buy Vs Rent Calculator'!$D$12/12,Table_1[[#This Row],[Column1]],'Buy Vs Rent Calculator'!$D$13*12,'Buy Vs Rent Calculator'!$D$21),0)</f>
        <v>14487.736194212403</v>
      </c>
      <c r="E23" s="92">
        <f>IF(Table_1[[#This Row],[Column1]]&lt;='Buy Vs Rent Calculator'!$D$13*12,-IPMT('Buy Vs Rent Calculator'!$D$12/12,Table_1[[#This Row],[Column1]],'Buy Vs Rent Calculator'!$D$13*12,'Buy Vs Rent Calculator'!$D$21),0)</f>
        <v>54938.122475030315</v>
      </c>
      <c r="F23" s="6"/>
      <c r="G23" s="91">
        <v>19</v>
      </c>
      <c r="H23" s="92">
        <f>SUM(D221:D232)</f>
        <v>731343.41670685727</v>
      </c>
      <c r="I23" s="92">
        <f>SUM(E221:E232)</f>
        <v>101766.88732405542</v>
      </c>
      <c r="J23" s="92">
        <f>SUM(Table_1[[#This Row],[Column14]:[Column13]])</f>
        <v>833110.3040309127</v>
      </c>
      <c r="K23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30530.066197216627</v>
      </c>
      <c r="L23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23" s="92">
        <f>SUM(Table_1[[#This Row],[Column15]:[Column16]])</f>
        <v>45530.066197216627</v>
      </c>
      <c r="N23" s="92">
        <f>Table_1[[#This Row],[Column17]]*(1+'Buy Vs Rent Calculator'!$K$9)^('Buy Vs Rent Calculator'!$D$13-Table_1[[#This Row],[Column12]])</f>
        <v>50993.674140882627</v>
      </c>
      <c r="O23" s="92">
        <f>IF(G23&lt;='Buy Vs Rent Calculator'!$D$13,O22*(1+'Buy Vs Rent Calculator'!$H$11),0)</f>
        <v>120330.96168455425</v>
      </c>
      <c r="P23" s="93"/>
      <c r="Q23" s="92">
        <f>IF(Table_1[[#This Row],[Column12]]&lt;='Buy Vs Rent Calculator'!$D$13,Q22*(1+'Buy Vs Rent Calculator'!$H$9),0)</f>
        <v>808624.06252020469</v>
      </c>
      <c r="R23" s="92">
        <f>Table_1[[#This Row],[Column11]]-Table_1[[#This Row],[Column3]]</f>
        <v>24486.241510708001</v>
      </c>
      <c r="S23" s="92">
        <f>IF(Table_1[[#This Row],[Column12]]&lt;='Buy Vs Rent Calculator'!$D$13,R23*(1+'Buy Vs Rent Calculator'!$K$9)^('Buy Vs Rent Calculator'!$D$13-Table_1[[#This Row],[Column12]]),0)</f>
        <v>27424.590491992964</v>
      </c>
      <c r="T23" s="94">
        <f>IF(Table_1[[#This Row],[Column12]]&lt;='Buy Vs Rent Calculator'!$D$13,((Table_1[[#This Row],[Column3]])-Table_1[[#This Row],[Column19]])*'Buy Vs Rent Calculator'!$D$6*0.8,0)</f>
        <v>165190.34420055611</v>
      </c>
      <c r="U23" s="92">
        <f>T23*(1+'Buy Vs Rent Calculator'!$K$9)^('Buy Vs Rent Calculator'!$D$13-Table_1[[#This Row],[Column12]])</f>
        <v>185013.18550462284</v>
      </c>
    </row>
    <row r="24" spans="2:21" ht="14.25" customHeight="1" x14ac:dyDescent="0.2">
      <c r="B24" s="91">
        <v>20</v>
      </c>
      <c r="C24" s="92">
        <f>IF(Table_1[[#This Row],[Column1]]&lt;='Buy Vs Rent Calculator'!$D$13*12,'Buy Vs Rent Calculator'!$D$22,0)</f>
        <v>69425.85866924272</v>
      </c>
      <c r="D24" s="92">
        <f>IF(Table_1[[#This Row],[Column1]]&lt;='Buy Vs Rent Calculator'!$D$13*12,-PPMT('Buy Vs Rent Calculator'!$D$12/12,Table_1[[#This Row],[Column1]],'Buy Vs Rent Calculator'!$D$13*12,'Buy Vs Rent Calculator'!$D$21),0)</f>
        <v>14590.357658921406</v>
      </c>
      <c r="E24" s="92">
        <f>IF(Table_1[[#This Row],[Column1]]&lt;='Buy Vs Rent Calculator'!$D$13*12,-IPMT('Buy Vs Rent Calculator'!$D$12/12,Table_1[[#This Row],[Column1]],'Buy Vs Rent Calculator'!$D$13*12,'Buy Vs Rent Calculator'!$D$21),0)</f>
        <v>54835.501010321306</v>
      </c>
      <c r="F24" s="6"/>
      <c r="G24" s="91">
        <v>20</v>
      </c>
      <c r="H24" s="92">
        <f>SUM(D233:D244)</f>
        <v>795987.52382819122</v>
      </c>
      <c r="I24" s="92">
        <f>SUM(E233:E244)</f>
        <v>37122.780202721347</v>
      </c>
      <c r="J24" s="92">
        <f>SUM(Table_1[[#This Row],[Column14]:[Column13]])</f>
        <v>833110.30403091258</v>
      </c>
      <c r="K24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11136.834060816404</v>
      </c>
      <c r="L24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15000</v>
      </c>
      <c r="M24" s="92">
        <f>SUM(Table_1[[#This Row],[Column15]:[Column16]])</f>
        <v>26136.834060816404</v>
      </c>
      <c r="N24" s="92">
        <f>Table_1[[#This Row],[Column17]]*(1+'Buy Vs Rent Calculator'!$K$9)^('Buy Vs Rent Calculator'!$D$13-Table_1[[#This Row],[Column12]])</f>
        <v>26136.834060816404</v>
      </c>
      <c r="O24" s="92">
        <f>IF(G24&lt;='Buy Vs Rent Calculator'!$D$13,O23*(1+'Buy Vs Rent Calculator'!$H$11),0)</f>
        <v>126347.50976878197</v>
      </c>
      <c r="P24" s="93"/>
      <c r="Q24" s="92">
        <f>IF(Table_1[[#This Row],[Column12]]&lt;='Buy Vs Rent Calculator'!$D$13,Q23*(1+'Buy Vs Rent Calculator'!$H$9),0)</f>
        <v>849055.26564621495</v>
      </c>
      <c r="R24" s="92">
        <f>Table_1[[#This Row],[Column11]]-Table_1[[#This Row],[Column3]]</f>
        <v>-15944.961615302367</v>
      </c>
      <c r="S24" s="92">
        <f>IF(Table_1[[#This Row],[Column12]]&lt;='Buy Vs Rent Calculator'!$D$13,R24*(1+'Buy Vs Rent Calculator'!$K$9)^('Buy Vs Rent Calculator'!$D$13-Table_1[[#This Row],[Column12]]),0)</f>
        <v>-15944.961615302367</v>
      </c>
      <c r="T24" s="94">
        <f>IF(Table_1[[#This Row],[Column12]]&lt;='Buy Vs Rent Calculator'!$D$13,((Table_1[[#This Row],[Column3]])-Table_1[[#This Row],[Column19]])*'Buy Vs Rent Calculator'!$D$6*0.8,0)</f>
        <v>173449.86141058392</v>
      </c>
      <c r="U24" s="92">
        <f>T24*(1+'Buy Vs Rent Calculator'!$K$9)^('Buy Vs Rent Calculator'!$D$13-Table_1[[#This Row],[Column12]])</f>
        <v>173449.86141058392</v>
      </c>
    </row>
    <row r="25" spans="2:21" ht="14.25" customHeight="1" x14ac:dyDescent="0.2">
      <c r="B25" s="91">
        <v>21</v>
      </c>
      <c r="C25" s="92">
        <f>IF(Table_1[[#This Row],[Column1]]&lt;='Buy Vs Rent Calculator'!$D$13*12,'Buy Vs Rent Calculator'!$D$22,0)</f>
        <v>69425.85866924272</v>
      </c>
      <c r="D25" s="92">
        <f>IF(Table_1[[#This Row],[Column1]]&lt;='Buy Vs Rent Calculator'!$D$13*12,-PPMT('Buy Vs Rent Calculator'!$D$12/12,Table_1[[#This Row],[Column1]],'Buy Vs Rent Calculator'!$D$13*12,'Buy Vs Rent Calculator'!$D$21),0)</f>
        <v>14693.706025672103</v>
      </c>
      <c r="E25" s="92">
        <f>IF(Table_1[[#This Row],[Column1]]&lt;='Buy Vs Rent Calculator'!$D$13*12,-IPMT('Buy Vs Rent Calculator'!$D$12/12,Table_1[[#This Row],[Column1]],'Buy Vs Rent Calculator'!$D$13*12,'Buy Vs Rent Calculator'!$D$21),0)</f>
        <v>54732.152643570611</v>
      </c>
      <c r="F25" s="6"/>
      <c r="G25" s="91">
        <v>21</v>
      </c>
      <c r="H25" s="92">
        <f>SUM(D245:D256)</f>
        <v>0</v>
      </c>
      <c r="I25" s="92">
        <f>SUM(E245:E256)</f>
        <v>0</v>
      </c>
      <c r="J25" s="92">
        <f>SUM(Table_1[[#This Row],[Column14]:[Column13]])</f>
        <v>0</v>
      </c>
      <c r="K25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5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5" s="92">
        <f>SUM(Table_1[[#This Row],[Column15]:[Column16]])</f>
        <v>0</v>
      </c>
      <c r="N25" s="92">
        <f>Table_1[[#This Row],[Column17]]*(1+'Buy Vs Rent Calculator'!$K$9)^('Buy Vs Rent Calculator'!$D$13-Table_1[[#This Row],[Column12]])</f>
        <v>0</v>
      </c>
      <c r="O25" s="92">
        <f>IF(G25&lt;='Buy Vs Rent Calculator'!$D$13,O24*(1+'Buy Vs Rent Calculator'!$H$11),0)</f>
        <v>0</v>
      </c>
      <c r="P25" s="93"/>
      <c r="Q25" s="92">
        <f>IF(Table_1[[#This Row],[Column12]]&lt;='Buy Vs Rent Calculator'!$D$13,Q24*(1+'Buy Vs Rent Calculator'!$H$9),0)</f>
        <v>0</v>
      </c>
      <c r="R25" s="92">
        <f>Table_1[[#This Row],[Column11]]-Table_1[[#This Row],[Column3]]</f>
        <v>0</v>
      </c>
      <c r="S25" s="92">
        <f>IF(Table_1[[#This Row],[Column12]]&lt;='Buy Vs Rent Calculator'!$D$13,R25*(1+'Buy Vs Rent Calculator'!$K$9)^('Buy Vs Rent Calculator'!$D$13-Table_1[[#This Row],[Column12]]),0)</f>
        <v>0</v>
      </c>
      <c r="T25" s="94">
        <f>IF(Table_1[[#This Row],[Column12]]&lt;='Buy Vs Rent Calculator'!$D$13,((Table_1[[#This Row],[Column3]])-Table_1[[#This Row],[Column19]])*'Buy Vs Rent Calculator'!$D$6*0.8,0)</f>
        <v>0</v>
      </c>
      <c r="U25" s="92">
        <f>T25*(1+'Buy Vs Rent Calculator'!$K$9)^('Buy Vs Rent Calculator'!$D$13-Table_1[[#This Row],[Column12]])</f>
        <v>0</v>
      </c>
    </row>
    <row r="26" spans="2:21" ht="14.25" customHeight="1" x14ac:dyDescent="0.2">
      <c r="B26" s="91">
        <v>22</v>
      </c>
      <c r="C26" s="92">
        <f>IF(Table_1[[#This Row],[Column1]]&lt;='Buy Vs Rent Calculator'!$D$13*12,'Buy Vs Rent Calculator'!$D$22,0)</f>
        <v>69425.85866924272</v>
      </c>
      <c r="D26" s="92">
        <f>IF(Table_1[[#This Row],[Column1]]&lt;='Buy Vs Rent Calculator'!$D$13*12,-PPMT('Buy Vs Rent Calculator'!$D$12/12,Table_1[[#This Row],[Column1]],'Buy Vs Rent Calculator'!$D$13*12,'Buy Vs Rent Calculator'!$D$21),0)</f>
        <v>14797.786443353947</v>
      </c>
      <c r="E26" s="92">
        <f>IF(Table_1[[#This Row],[Column1]]&lt;='Buy Vs Rent Calculator'!$D$13*12,-IPMT('Buy Vs Rent Calculator'!$D$12/12,Table_1[[#This Row],[Column1]],'Buy Vs Rent Calculator'!$D$13*12,'Buy Vs Rent Calculator'!$D$21),0)</f>
        <v>54628.072225888776</v>
      </c>
      <c r="F26" s="6"/>
      <c r="G26" s="91">
        <v>22</v>
      </c>
      <c r="H26" s="92">
        <f>SUM(D257:D268)</f>
        <v>0</v>
      </c>
      <c r="I26" s="92">
        <f>SUM(E257:E268)</f>
        <v>0</v>
      </c>
      <c r="J26" s="92">
        <f>SUM(Table_1[[#This Row],[Column14]:[Column13]])</f>
        <v>0</v>
      </c>
      <c r="K26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6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6" s="92">
        <f>SUM(Table_1[[#This Row],[Column15]:[Column16]])</f>
        <v>0</v>
      </c>
      <c r="N26" s="92">
        <f>Table_1[[#This Row],[Column17]]*(1+'Buy Vs Rent Calculator'!$K$9)^('Buy Vs Rent Calculator'!$D$13-Table_1[[#This Row],[Column12]])</f>
        <v>0</v>
      </c>
      <c r="O26" s="92">
        <f>IF(G26&lt;='Buy Vs Rent Calculator'!$D$13,O25*(1+'Buy Vs Rent Calculator'!$H$11),0)</f>
        <v>0</v>
      </c>
      <c r="P26" s="93"/>
      <c r="Q26" s="92">
        <f>IF(Table_1[[#This Row],[Column12]]&lt;='Buy Vs Rent Calculator'!$D$13,Q25*(1+'Buy Vs Rent Calculator'!$H$9),0)</f>
        <v>0</v>
      </c>
      <c r="R26" s="92">
        <f>Table_1[[#This Row],[Column11]]-Table_1[[#This Row],[Column3]]</f>
        <v>0</v>
      </c>
      <c r="S26" s="92">
        <f>IF(Table_1[[#This Row],[Column12]]&lt;='Buy Vs Rent Calculator'!$D$13,R26*(1+'Buy Vs Rent Calculator'!$K$9)^('Buy Vs Rent Calculator'!$D$13-Table_1[[#This Row],[Column12]]),0)</f>
        <v>0</v>
      </c>
      <c r="T26" s="94">
        <f>IF(Table_1[[#This Row],[Column12]]&lt;='Buy Vs Rent Calculator'!$D$13,((Table_1[[#This Row],[Column3]])-Table_1[[#This Row],[Column19]])*'Buy Vs Rent Calculator'!$D$6*0.8,0)</f>
        <v>0</v>
      </c>
      <c r="U26" s="92">
        <f>T26*(1+'Buy Vs Rent Calculator'!$K$9)^('Buy Vs Rent Calculator'!$D$13-Table_1[[#This Row],[Column12]])</f>
        <v>0</v>
      </c>
    </row>
    <row r="27" spans="2:21" ht="14.25" customHeight="1" x14ac:dyDescent="0.2">
      <c r="B27" s="91">
        <v>23</v>
      </c>
      <c r="C27" s="92">
        <f>IF(Table_1[[#This Row],[Column1]]&lt;='Buy Vs Rent Calculator'!$D$13*12,'Buy Vs Rent Calculator'!$D$22,0)</f>
        <v>69425.85866924272</v>
      </c>
      <c r="D27" s="92">
        <f>IF(Table_1[[#This Row],[Column1]]&lt;='Buy Vs Rent Calculator'!$D$13*12,-PPMT('Buy Vs Rent Calculator'!$D$12/12,Table_1[[#This Row],[Column1]],'Buy Vs Rent Calculator'!$D$13*12,'Buy Vs Rent Calculator'!$D$21),0)</f>
        <v>14902.604097327703</v>
      </c>
      <c r="E27" s="92">
        <f>IF(Table_1[[#This Row],[Column1]]&lt;='Buy Vs Rent Calculator'!$D$13*12,-IPMT('Buy Vs Rent Calculator'!$D$12/12,Table_1[[#This Row],[Column1]],'Buy Vs Rent Calculator'!$D$13*12,'Buy Vs Rent Calculator'!$D$21),0)</f>
        <v>54523.254571915022</v>
      </c>
      <c r="F27" s="6"/>
      <c r="G27" s="91">
        <v>23</v>
      </c>
      <c r="H27" s="92">
        <f>SUM(D269:D280)</f>
        <v>0</v>
      </c>
      <c r="I27" s="92">
        <f>SUM(E269:E280)</f>
        <v>0</v>
      </c>
      <c r="J27" s="92">
        <f>SUM(Table_1[[#This Row],[Column14]:[Column13]])</f>
        <v>0</v>
      </c>
      <c r="K27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7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7" s="92">
        <f>SUM(Table_1[[#This Row],[Column15]:[Column16]])</f>
        <v>0</v>
      </c>
      <c r="N27" s="92">
        <f>Table_1[[#This Row],[Column17]]*(1+'Buy Vs Rent Calculator'!$K$9)^('Buy Vs Rent Calculator'!$D$13-Table_1[[#This Row],[Column12]])</f>
        <v>0</v>
      </c>
      <c r="O27" s="92">
        <f>IF(G27&lt;='Buy Vs Rent Calculator'!$D$13,O26*(1+'Buy Vs Rent Calculator'!$H$11),0)</f>
        <v>0</v>
      </c>
      <c r="P27" s="93"/>
      <c r="Q27" s="92">
        <f>IF(Table_1[[#This Row],[Column12]]&lt;='Buy Vs Rent Calculator'!$D$13,Q26*(1+'Buy Vs Rent Calculator'!$H$9),0)</f>
        <v>0</v>
      </c>
      <c r="R27" s="92">
        <f>Table_1[[#This Row],[Column11]]-Table_1[[#This Row],[Column3]]</f>
        <v>0</v>
      </c>
      <c r="S27" s="92">
        <f>IF(Table_1[[#This Row],[Column12]]&lt;='Buy Vs Rent Calculator'!$D$13,R27*(1+'Buy Vs Rent Calculator'!$K$9)^('Buy Vs Rent Calculator'!$D$13-Table_1[[#This Row],[Column12]]),0)</f>
        <v>0</v>
      </c>
      <c r="T27" s="94">
        <f>IF(Table_1[[#This Row],[Column12]]&lt;='Buy Vs Rent Calculator'!$D$13,((Table_1[[#This Row],[Column3]])-Table_1[[#This Row],[Column19]])*'Buy Vs Rent Calculator'!$D$6*0.8,0)</f>
        <v>0</v>
      </c>
      <c r="U27" s="92">
        <f>T27*(1+'Buy Vs Rent Calculator'!$K$9)^('Buy Vs Rent Calculator'!$D$13-Table_1[[#This Row],[Column12]])</f>
        <v>0</v>
      </c>
    </row>
    <row r="28" spans="2:21" ht="14.25" customHeight="1" x14ac:dyDescent="0.2">
      <c r="B28" s="91">
        <v>24</v>
      </c>
      <c r="C28" s="92">
        <f>IF(Table_1[[#This Row],[Column1]]&lt;='Buy Vs Rent Calculator'!$D$13*12,'Buy Vs Rent Calculator'!$D$22,0)</f>
        <v>69425.85866924272</v>
      </c>
      <c r="D28" s="92">
        <f>IF(Table_1[[#This Row],[Column1]]&lt;='Buy Vs Rent Calculator'!$D$13*12,-PPMT('Buy Vs Rent Calculator'!$D$12/12,Table_1[[#This Row],[Column1]],'Buy Vs Rent Calculator'!$D$13*12,'Buy Vs Rent Calculator'!$D$21),0)</f>
        <v>15008.164209683775</v>
      </c>
      <c r="E28" s="92">
        <f>IF(Table_1[[#This Row],[Column1]]&lt;='Buy Vs Rent Calculator'!$D$13*12,-IPMT('Buy Vs Rent Calculator'!$D$12/12,Table_1[[#This Row],[Column1]],'Buy Vs Rent Calculator'!$D$13*12,'Buy Vs Rent Calculator'!$D$21),0)</f>
        <v>54417.694459558945</v>
      </c>
      <c r="F28" s="6"/>
      <c r="G28" s="91">
        <v>24</v>
      </c>
      <c r="H28" s="92">
        <f>SUM(D281:D292)</f>
        <v>0</v>
      </c>
      <c r="I28" s="92">
        <f>SUM(E281:E292)</f>
        <v>0</v>
      </c>
      <c r="J28" s="92">
        <f>SUM(Table_1[[#This Row],[Column14]:[Column13]])</f>
        <v>0</v>
      </c>
      <c r="K28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8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8" s="92">
        <f>SUM(Table_1[[#This Row],[Column15]:[Column16]])</f>
        <v>0</v>
      </c>
      <c r="N28" s="92">
        <f>Table_1[[#This Row],[Column17]]*(1+'Buy Vs Rent Calculator'!$K$9)^('Buy Vs Rent Calculator'!$D$13-Table_1[[#This Row],[Column12]])</f>
        <v>0</v>
      </c>
      <c r="O28" s="92">
        <f>IF(G28&lt;='Buy Vs Rent Calculator'!$D$13,O27*(1+'Buy Vs Rent Calculator'!$H$11),0)</f>
        <v>0</v>
      </c>
      <c r="P28" s="93"/>
      <c r="Q28" s="92">
        <f>IF(Table_1[[#This Row],[Column12]]&lt;='Buy Vs Rent Calculator'!$D$13,Q27*(1+'Buy Vs Rent Calculator'!$H$9),0)</f>
        <v>0</v>
      </c>
      <c r="R28" s="92">
        <f>Table_1[[#This Row],[Column11]]-Table_1[[#This Row],[Column3]]</f>
        <v>0</v>
      </c>
      <c r="S28" s="92">
        <f>IF(Table_1[[#This Row],[Column12]]&lt;='Buy Vs Rent Calculator'!$D$13,R28*(1+'Buy Vs Rent Calculator'!$K$9)^('Buy Vs Rent Calculator'!$D$13-Table_1[[#This Row],[Column12]]),0)</f>
        <v>0</v>
      </c>
      <c r="T28" s="94">
        <f>IF(Table_1[[#This Row],[Column12]]&lt;='Buy Vs Rent Calculator'!$D$13,((Table_1[[#This Row],[Column3]])-Table_1[[#This Row],[Column19]])*'Buy Vs Rent Calculator'!$D$6*0.8,0)</f>
        <v>0</v>
      </c>
      <c r="U28" s="92">
        <f>T28*(1+'Buy Vs Rent Calculator'!$K$9)^('Buy Vs Rent Calculator'!$D$13-Table_1[[#This Row],[Column12]])</f>
        <v>0</v>
      </c>
    </row>
    <row r="29" spans="2:21" ht="14.25" customHeight="1" x14ac:dyDescent="0.2">
      <c r="B29" s="91">
        <v>25</v>
      </c>
      <c r="C29" s="92">
        <f>IF(Table_1[[#This Row],[Column1]]&lt;='Buy Vs Rent Calculator'!$D$13*12,'Buy Vs Rent Calculator'!$D$22,0)</f>
        <v>69425.85866924272</v>
      </c>
      <c r="D29" s="92">
        <f>IF(Table_1[[#This Row],[Column1]]&lt;='Buy Vs Rent Calculator'!$D$13*12,-PPMT('Buy Vs Rent Calculator'!$D$12/12,Table_1[[#This Row],[Column1]],'Buy Vs Rent Calculator'!$D$13*12,'Buy Vs Rent Calculator'!$D$21),0)</f>
        <v>15114.472039502369</v>
      </c>
      <c r="E29" s="92">
        <f>IF(Table_1[[#This Row],[Column1]]&lt;='Buy Vs Rent Calculator'!$D$13*12,-IPMT('Buy Vs Rent Calculator'!$D$12/12,Table_1[[#This Row],[Column1]],'Buy Vs Rent Calculator'!$D$13*12,'Buy Vs Rent Calculator'!$D$21),0)</f>
        <v>54311.386629740351</v>
      </c>
      <c r="F29" s="6"/>
      <c r="G29" s="91">
        <v>25</v>
      </c>
      <c r="H29" s="92">
        <f>SUM(D293:D304)</f>
        <v>0</v>
      </c>
      <c r="I29" s="92">
        <f>SUM(E293:E304)</f>
        <v>0</v>
      </c>
      <c r="J29" s="92">
        <f>SUM(Table_1[[#This Row],[Column14]:[Column13]])</f>
        <v>0</v>
      </c>
      <c r="K29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29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29" s="92">
        <f>SUM(Table_1[[#This Row],[Column15]:[Column16]])</f>
        <v>0</v>
      </c>
      <c r="N29" s="92">
        <f>Table_1[[#This Row],[Column17]]*(1+'Buy Vs Rent Calculator'!$K$9)^('Buy Vs Rent Calculator'!$D$13-Table_1[[#This Row],[Column12]])</f>
        <v>0</v>
      </c>
      <c r="O29" s="92">
        <f>IF(G29&lt;='Buy Vs Rent Calculator'!$D$13,O28*(1+'Buy Vs Rent Calculator'!$H$11),0)</f>
        <v>0</v>
      </c>
      <c r="P29" s="93"/>
      <c r="Q29" s="92">
        <f>IF(Table_1[[#This Row],[Column12]]&lt;='Buy Vs Rent Calculator'!$D$13,Q28*(1+'Buy Vs Rent Calculator'!$H$9),0)</f>
        <v>0</v>
      </c>
      <c r="R29" s="92">
        <f>Table_1[[#This Row],[Column11]]-Table_1[[#This Row],[Column3]]</f>
        <v>0</v>
      </c>
      <c r="S29" s="92">
        <f>IF(Table_1[[#This Row],[Column12]]&lt;='Buy Vs Rent Calculator'!$D$13,R29*(1+'Buy Vs Rent Calculator'!$K$9)^('Buy Vs Rent Calculator'!$D$13-Table_1[[#This Row],[Column12]]),0)</f>
        <v>0</v>
      </c>
      <c r="T29" s="94">
        <f>IF(Table_1[[#This Row],[Column12]]&lt;='Buy Vs Rent Calculator'!$D$13,((Table_1[[#This Row],[Column3]])-Table_1[[#This Row],[Column19]])*'Buy Vs Rent Calculator'!$D$6*0.8,0)</f>
        <v>0</v>
      </c>
      <c r="U29" s="92">
        <f>T29*(1+'Buy Vs Rent Calculator'!$K$9)^('Buy Vs Rent Calculator'!$D$13-Table_1[[#This Row],[Column12]])</f>
        <v>0</v>
      </c>
    </row>
    <row r="30" spans="2:21" ht="14.25" customHeight="1" x14ac:dyDescent="0.2">
      <c r="B30" s="91">
        <v>26</v>
      </c>
      <c r="C30" s="92">
        <f>IF(Table_1[[#This Row],[Column1]]&lt;='Buy Vs Rent Calculator'!$D$13*12,'Buy Vs Rent Calculator'!$D$22,0)</f>
        <v>69425.85866924272</v>
      </c>
      <c r="D30" s="92">
        <f>IF(Table_1[[#This Row],[Column1]]&lt;='Buy Vs Rent Calculator'!$D$13*12,-PPMT('Buy Vs Rent Calculator'!$D$12/12,Table_1[[#This Row],[Column1]],'Buy Vs Rent Calculator'!$D$13*12,'Buy Vs Rent Calculator'!$D$21),0)</f>
        <v>15221.532883115508</v>
      </c>
      <c r="E30" s="92">
        <f>IF(Table_1[[#This Row],[Column1]]&lt;='Buy Vs Rent Calculator'!$D$13*12,-IPMT('Buy Vs Rent Calculator'!$D$12/12,Table_1[[#This Row],[Column1]],'Buy Vs Rent Calculator'!$D$13*12,'Buy Vs Rent Calculator'!$D$21),0)</f>
        <v>54204.325786127214</v>
      </c>
      <c r="F30" s="6"/>
      <c r="G30" s="91">
        <v>26</v>
      </c>
      <c r="H30" s="92">
        <f>SUM(D305:D316)</f>
        <v>0</v>
      </c>
      <c r="I30" s="92">
        <f>SUM(E305:E316)</f>
        <v>0</v>
      </c>
      <c r="J30" s="92">
        <f>SUM(Table_1[[#This Row],[Column14]:[Column13]])</f>
        <v>0</v>
      </c>
      <c r="K30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30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30" s="92">
        <f>SUM(Table_1[[#This Row],[Column15]:[Column16]])</f>
        <v>0</v>
      </c>
      <c r="N30" s="92">
        <f>Table_1[[#This Row],[Column17]]*(1+'Buy Vs Rent Calculator'!$K$9)^('Buy Vs Rent Calculator'!$D$13-Table_1[[#This Row],[Column12]])</f>
        <v>0</v>
      </c>
      <c r="O30" s="92">
        <f>IF(G30&lt;='Buy Vs Rent Calculator'!$D$13,O29*(1+'Buy Vs Rent Calculator'!$H$11),0)</f>
        <v>0</v>
      </c>
      <c r="P30" s="93"/>
      <c r="Q30" s="92">
        <f>IF(Table_1[[#This Row],[Column12]]&lt;='Buy Vs Rent Calculator'!$D$13,Q29*(1+'Buy Vs Rent Calculator'!$H$9),0)</f>
        <v>0</v>
      </c>
      <c r="R30" s="92">
        <f>Table_1[[#This Row],[Column11]]-Table_1[[#This Row],[Column3]]</f>
        <v>0</v>
      </c>
      <c r="S30" s="92">
        <f>IF(Table_1[[#This Row],[Column12]]&lt;='Buy Vs Rent Calculator'!$D$13,R30*(1+'Buy Vs Rent Calculator'!$K$9)^('Buy Vs Rent Calculator'!$D$13-Table_1[[#This Row],[Column12]]),0)</f>
        <v>0</v>
      </c>
      <c r="T30" s="94">
        <f>IF(Table_1[[#This Row],[Column12]]&lt;='Buy Vs Rent Calculator'!$D$13,((Table_1[[#This Row],[Column3]])-Table_1[[#This Row],[Column19]])*'Buy Vs Rent Calculator'!$D$6*0.8,0)</f>
        <v>0</v>
      </c>
      <c r="U30" s="92">
        <f>T30*(1+'Buy Vs Rent Calculator'!$K$9)^('Buy Vs Rent Calculator'!$D$13-Table_1[[#This Row],[Column12]])</f>
        <v>0</v>
      </c>
    </row>
    <row r="31" spans="2:21" ht="14.25" customHeight="1" x14ac:dyDescent="0.2">
      <c r="B31" s="91">
        <v>27</v>
      </c>
      <c r="C31" s="92">
        <f>IF(Table_1[[#This Row],[Column1]]&lt;='Buy Vs Rent Calculator'!$D$13*12,'Buy Vs Rent Calculator'!$D$22,0)</f>
        <v>69425.85866924272</v>
      </c>
      <c r="D31" s="92">
        <f>IF(Table_1[[#This Row],[Column1]]&lt;='Buy Vs Rent Calculator'!$D$13*12,-PPMT('Buy Vs Rent Calculator'!$D$12/12,Table_1[[#This Row],[Column1]],'Buy Vs Rent Calculator'!$D$13*12,'Buy Vs Rent Calculator'!$D$21),0)</f>
        <v>15329.35207437091</v>
      </c>
      <c r="E31" s="92">
        <f>IF(Table_1[[#This Row],[Column1]]&lt;='Buy Vs Rent Calculator'!$D$13*12,-IPMT('Buy Vs Rent Calculator'!$D$12/12,Table_1[[#This Row],[Column1]],'Buy Vs Rent Calculator'!$D$13*12,'Buy Vs Rent Calculator'!$D$21),0)</f>
        <v>54096.506594871811</v>
      </c>
      <c r="F31" s="6"/>
      <c r="G31" s="91">
        <v>27</v>
      </c>
      <c r="H31" s="92">
        <f>SUM(D317:D328)</f>
        <v>0</v>
      </c>
      <c r="I31" s="92">
        <f>SUM(E317:E328)</f>
        <v>0</v>
      </c>
      <c r="J31" s="92">
        <f>SUM(Table_1[[#This Row],[Column14]:[Column13]])</f>
        <v>0</v>
      </c>
      <c r="K31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31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31" s="92">
        <f>SUM(Table_1[[#This Row],[Column15]:[Column16]])</f>
        <v>0</v>
      </c>
      <c r="N31" s="92">
        <f>Table_1[[#This Row],[Column17]]*(1+'Buy Vs Rent Calculator'!$K$9)^('Buy Vs Rent Calculator'!$D$13-Table_1[[#This Row],[Column12]])</f>
        <v>0</v>
      </c>
      <c r="O31" s="92">
        <f>IF(G31&lt;='Buy Vs Rent Calculator'!$D$13,O30*(1+'Buy Vs Rent Calculator'!$H$11),0)</f>
        <v>0</v>
      </c>
      <c r="P31" s="93"/>
      <c r="Q31" s="92">
        <f>IF(Table_1[[#This Row],[Column12]]&lt;='Buy Vs Rent Calculator'!$D$13,Q30*(1+'Buy Vs Rent Calculator'!$H$9),0)</f>
        <v>0</v>
      </c>
      <c r="R31" s="92">
        <f>Table_1[[#This Row],[Column11]]-Table_1[[#This Row],[Column3]]</f>
        <v>0</v>
      </c>
      <c r="S31" s="92">
        <f>IF(Table_1[[#This Row],[Column12]]&lt;='Buy Vs Rent Calculator'!$D$13,R31*(1+'Buy Vs Rent Calculator'!$K$9)^('Buy Vs Rent Calculator'!$D$13-Table_1[[#This Row],[Column12]]),0)</f>
        <v>0</v>
      </c>
      <c r="T31" s="94">
        <f>IF(Table_1[[#This Row],[Column12]]&lt;='Buy Vs Rent Calculator'!$D$13,((Table_1[[#This Row],[Column3]])-Table_1[[#This Row],[Column19]])*'Buy Vs Rent Calculator'!$D$6*0.8,0)</f>
        <v>0</v>
      </c>
      <c r="U31" s="92">
        <f>T31*(1+'Buy Vs Rent Calculator'!$K$9)^('Buy Vs Rent Calculator'!$D$13-Table_1[[#This Row],[Column12]])</f>
        <v>0</v>
      </c>
    </row>
    <row r="32" spans="2:21" ht="14.25" customHeight="1" x14ac:dyDescent="0.2">
      <c r="B32" s="91">
        <v>28</v>
      </c>
      <c r="C32" s="92">
        <f>IF(Table_1[[#This Row],[Column1]]&lt;='Buy Vs Rent Calculator'!$D$13*12,'Buy Vs Rent Calculator'!$D$22,0)</f>
        <v>69425.85866924272</v>
      </c>
      <c r="D32" s="92">
        <f>IF(Table_1[[#This Row],[Column1]]&lt;='Buy Vs Rent Calculator'!$D$13*12,-PPMT('Buy Vs Rent Calculator'!$D$12/12,Table_1[[#This Row],[Column1]],'Buy Vs Rent Calculator'!$D$13*12,'Buy Vs Rent Calculator'!$D$21),0)</f>
        <v>15437.934984897704</v>
      </c>
      <c r="E32" s="92">
        <f>IF(Table_1[[#This Row],[Column1]]&lt;='Buy Vs Rent Calculator'!$D$13*12,-IPMT('Buy Vs Rent Calculator'!$D$12/12,Table_1[[#This Row],[Column1]],'Buy Vs Rent Calculator'!$D$13*12,'Buy Vs Rent Calculator'!$D$21),0)</f>
        <v>53987.92368434502</v>
      </c>
      <c r="F32" s="6"/>
      <c r="G32" s="91">
        <v>28</v>
      </c>
      <c r="H32" s="92">
        <f>SUM(D329:D340)</f>
        <v>0</v>
      </c>
      <c r="I32" s="92">
        <f>SUM(E329:E340)</f>
        <v>0</v>
      </c>
      <c r="J32" s="92">
        <f>SUM(Table_1[[#This Row],[Column14]:[Column13]])</f>
        <v>0</v>
      </c>
      <c r="K32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32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32" s="92">
        <f>SUM(Table_1[[#This Row],[Column15]:[Column16]])</f>
        <v>0</v>
      </c>
      <c r="N32" s="92">
        <f>Table_1[[#This Row],[Column17]]*(1+'Buy Vs Rent Calculator'!$K$9)^('Buy Vs Rent Calculator'!$D$13-Table_1[[#This Row],[Column12]])</f>
        <v>0</v>
      </c>
      <c r="O32" s="92">
        <f>IF(G32&lt;='Buy Vs Rent Calculator'!$D$13,O31*(1+'Buy Vs Rent Calculator'!$H$11),0)</f>
        <v>0</v>
      </c>
      <c r="P32" s="93"/>
      <c r="Q32" s="92">
        <f>IF(Table_1[[#This Row],[Column12]]&lt;='Buy Vs Rent Calculator'!$D$13,Q31*(1+'Buy Vs Rent Calculator'!$H$9),0)</f>
        <v>0</v>
      </c>
      <c r="R32" s="92">
        <f>Table_1[[#This Row],[Column11]]-Table_1[[#This Row],[Column3]]</f>
        <v>0</v>
      </c>
      <c r="S32" s="92">
        <f>IF(Table_1[[#This Row],[Column12]]&lt;='Buy Vs Rent Calculator'!$D$13,R32*(1+'Buy Vs Rent Calculator'!$K$9)^('Buy Vs Rent Calculator'!$D$13-Table_1[[#This Row],[Column12]]),0)</f>
        <v>0</v>
      </c>
      <c r="T32" s="94">
        <f>IF(Table_1[[#This Row],[Column12]]&lt;='Buy Vs Rent Calculator'!$D$13,((Table_1[[#This Row],[Column3]])-Table_1[[#This Row],[Column19]])*'Buy Vs Rent Calculator'!$D$6*0.8,0)</f>
        <v>0</v>
      </c>
      <c r="U32" s="92">
        <f>T32*(1+'Buy Vs Rent Calculator'!$K$9)^('Buy Vs Rent Calculator'!$D$13-Table_1[[#This Row],[Column12]])</f>
        <v>0</v>
      </c>
    </row>
    <row r="33" spans="2:21" ht="14.25" customHeight="1" x14ac:dyDescent="0.2">
      <c r="B33" s="91">
        <v>29</v>
      </c>
      <c r="C33" s="92">
        <f>IF(Table_1[[#This Row],[Column1]]&lt;='Buy Vs Rent Calculator'!$D$13*12,'Buy Vs Rent Calculator'!$D$22,0)</f>
        <v>69425.85866924272</v>
      </c>
      <c r="D33" s="92">
        <f>IF(Table_1[[#This Row],[Column1]]&lt;='Buy Vs Rent Calculator'!$D$13*12,-PPMT('Buy Vs Rent Calculator'!$D$12/12,Table_1[[#This Row],[Column1]],'Buy Vs Rent Calculator'!$D$13*12,'Buy Vs Rent Calculator'!$D$21),0)</f>
        <v>15547.287024374062</v>
      </c>
      <c r="E33" s="92">
        <f>IF(Table_1[[#This Row],[Column1]]&lt;='Buy Vs Rent Calculator'!$D$13*12,-IPMT('Buy Vs Rent Calculator'!$D$12/12,Table_1[[#This Row],[Column1]],'Buy Vs Rent Calculator'!$D$13*12,'Buy Vs Rent Calculator'!$D$21),0)</f>
        <v>53878.571644868658</v>
      </c>
      <c r="F33" s="6"/>
      <c r="G33" s="91">
        <v>29</v>
      </c>
      <c r="H33" s="92">
        <f>SUM(D341:D352)</f>
        <v>0</v>
      </c>
      <c r="I33" s="92">
        <f>SUM(E341:E352)</f>
        <v>0</v>
      </c>
      <c r="J33" s="92">
        <f>SUM(Table_1[[#This Row],[Column14]:[Column13]])</f>
        <v>0</v>
      </c>
      <c r="K33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33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33" s="92">
        <f>SUM(Table_1[[#This Row],[Column15]:[Column16]])</f>
        <v>0</v>
      </c>
      <c r="N33" s="92">
        <f>Table_1[[#This Row],[Column17]]*(1+'Buy Vs Rent Calculator'!$K$9)^('Buy Vs Rent Calculator'!$D$13-Table_1[[#This Row],[Column12]])</f>
        <v>0</v>
      </c>
      <c r="O33" s="92">
        <f>IF(G33&lt;='Buy Vs Rent Calculator'!$D$13,O32*(1+'Buy Vs Rent Calculator'!$H$11),0)</f>
        <v>0</v>
      </c>
      <c r="P33" s="93"/>
      <c r="Q33" s="92">
        <f>IF(Table_1[[#This Row],[Column12]]&lt;='Buy Vs Rent Calculator'!$D$13,Q32*(1+'Buy Vs Rent Calculator'!$H$9),0)</f>
        <v>0</v>
      </c>
      <c r="R33" s="92">
        <f>Table_1[[#This Row],[Column11]]-Table_1[[#This Row],[Column3]]</f>
        <v>0</v>
      </c>
      <c r="S33" s="92">
        <f>IF(Table_1[[#This Row],[Column12]]&lt;='Buy Vs Rent Calculator'!$D$13,R33*(1+'Buy Vs Rent Calculator'!$K$9)^('Buy Vs Rent Calculator'!$D$13-Table_1[[#This Row],[Column12]]),0)</f>
        <v>0</v>
      </c>
      <c r="T33" s="94">
        <f>IF(Table_1[[#This Row],[Column12]]&lt;='Buy Vs Rent Calculator'!$D$13,((Table_1[[#This Row],[Column3]])-Table_1[[#This Row],[Column19]])*'Buy Vs Rent Calculator'!$D$6*0.8,0)</f>
        <v>0</v>
      </c>
      <c r="U33" s="92">
        <f>T33*(1+'Buy Vs Rent Calculator'!$K$9)^('Buy Vs Rent Calculator'!$D$13-Table_1[[#This Row],[Column12]])</f>
        <v>0</v>
      </c>
    </row>
    <row r="34" spans="2:21" ht="14.25" customHeight="1" x14ac:dyDescent="0.2">
      <c r="B34" s="91">
        <v>30</v>
      </c>
      <c r="C34" s="92">
        <f>IF(Table_1[[#This Row],[Column1]]&lt;='Buy Vs Rent Calculator'!$D$13*12,'Buy Vs Rent Calculator'!$D$22,0)</f>
        <v>69425.85866924272</v>
      </c>
      <c r="D34" s="92">
        <f>IF(Table_1[[#This Row],[Column1]]&lt;='Buy Vs Rent Calculator'!$D$13*12,-PPMT('Buy Vs Rent Calculator'!$D$12/12,Table_1[[#This Row],[Column1]],'Buy Vs Rent Calculator'!$D$13*12,'Buy Vs Rent Calculator'!$D$21),0)</f>
        <v>15657.413640796709</v>
      </c>
      <c r="E34" s="92">
        <f>IF(Table_1[[#This Row],[Column1]]&lt;='Buy Vs Rent Calculator'!$D$13*12,-IPMT('Buy Vs Rent Calculator'!$D$12/12,Table_1[[#This Row],[Column1]],'Buy Vs Rent Calculator'!$D$13*12,'Buy Vs Rent Calculator'!$D$21),0)</f>
        <v>53768.445028446011</v>
      </c>
      <c r="F34" s="6"/>
      <c r="G34" s="91">
        <v>30</v>
      </c>
      <c r="H34" s="92">
        <f>SUM(D353:D364)</f>
        <v>0</v>
      </c>
      <c r="I34" s="92">
        <f>SUM(E353:E364)</f>
        <v>0</v>
      </c>
      <c r="J34" s="92">
        <f>SUM(Table_1[[#This Row],[Column14]:[Column13]])</f>
        <v>0</v>
      </c>
      <c r="K34" s="92">
        <f>IF('Buy Vs Rent Calculator'!$D$14=1,IF(Table_1[[#This Row],[Column13]]&lt;200000,'Buy Vs Rent Calculator'!$D$6*Table_1[[#This Row],[Column13]],'Buy Vs Rent Calculator'!$D$6*200000),IF(Table_1[[#This Row],[Column13]]&lt;400000,'Buy Vs Rent Calculator'!$D$6*Table_1[[#This Row],[Column13]],'Buy Vs Rent Calculator'!$D$6*400000))</f>
        <v>0</v>
      </c>
      <c r="L34" s="92">
        <f>IF('Buy Vs Rent Calculator'!$D$14=1,IF(Table_1[[#This Row],[Column14]]&lt;'Buy Vs Rent Calculator'!$K$14,'Buy Vs Rent Calculator'!$D$6*Table_1[[#This Row],[Column14]],'Buy Vs Rent Calculator'!$D$6*'Buy Vs Rent Calculator'!$K$14),IF(Table_1[[#This Row],[Column14]]&lt;'Buy Vs Rent Calculator'!$K$14,'Buy Vs Rent Calculator'!$D$6*Table_1[[#This Row],[Column14]],'Buy Vs Rent Calculator'!$D$6*'Buy Vs Rent Calculator'!$K$14))</f>
        <v>0</v>
      </c>
      <c r="M34" s="92">
        <f>SUM(Table_1[[#This Row],[Column15]:[Column16]])</f>
        <v>0</v>
      </c>
      <c r="N34" s="92">
        <f>Table_1[[#This Row],[Column17]]*(1+'Buy Vs Rent Calculator'!$K$9)^('Buy Vs Rent Calculator'!$D$13-Table_1[[#This Row],[Column12]])</f>
        <v>0</v>
      </c>
      <c r="O34" s="92">
        <f>IF(G34&lt;='Buy Vs Rent Calculator'!$D$13,O33*(1+'Buy Vs Rent Calculator'!$H$11),0)</f>
        <v>0</v>
      </c>
      <c r="P34" s="93"/>
      <c r="Q34" s="92">
        <f>IF(Table_1[[#This Row],[Column12]]&lt;='Buy Vs Rent Calculator'!$D$13,Q33*(1+'Buy Vs Rent Calculator'!$H$9),0)</f>
        <v>0</v>
      </c>
      <c r="R34" s="92">
        <f>Table_1[[#This Row],[Column11]]-Table_1[[#This Row],[Column3]]</f>
        <v>0</v>
      </c>
      <c r="S34" s="92">
        <f>IF(Table_1[[#This Row],[Column12]]&lt;='Buy Vs Rent Calculator'!$D$13,R34*(1+'Buy Vs Rent Calculator'!$K$9)^('Buy Vs Rent Calculator'!$D$13-Table_1[[#This Row],[Column12]]),0)</f>
        <v>0</v>
      </c>
      <c r="T34" s="94">
        <f>IF(Table_1[[#This Row],[Column12]]&lt;='Buy Vs Rent Calculator'!$D$13,((Table_1[[#This Row],[Column3]])-Table_1[[#This Row],[Column19]])*'Buy Vs Rent Calculator'!$D$6*0.8,0)</f>
        <v>0</v>
      </c>
      <c r="U34" s="92">
        <f>T34*(1+'Buy Vs Rent Calculator'!$K$9)^('Buy Vs Rent Calculator'!$D$13-Table_1[[#This Row],[Column12]])</f>
        <v>0</v>
      </c>
    </row>
    <row r="35" spans="2:21" ht="14.25" customHeight="1" x14ac:dyDescent="0.2">
      <c r="B35" s="91">
        <v>31</v>
      </c>
      <c r="C35" s="92">
        <f>IF(Table_1[[#This Row],[Column1]]&lt;='Buy Vs Rent Calculator'!$D$13*12,'Buy Vs Rent Calculator'!$D$22,0)</f>
        <v>69425.85866924272</v>
      </c>
      <c r="D35" s="92">
        <f>IF(Table_1[[#This Row],[Column1]]&lt;='Buy Vs Rent Calculator'!$D$13*12,-PPMT('Buy Vs Rent Calculator'!$D$12/12,Table_1[[#This Row],[Column1]],'Buy Vs Rent Calculator'!$D$13*12,'Buy Vs Rent Calculator'!$D$21),0)</f>
        <v>15768.320320752355</v>
      </c>
      <c r="E35" s="92">
        <f>IF(Table_1[[#This Row],[Column1]]&lt;='Buy Vs Rent Calculator'!$D$13*12,-IPMT('Buy Vs Rent Calculator'!$D$12/12,Table_1[[#This Row],[Column1]],'Buy Vs Rent Calculator'!$D$13*12,'Buy Vs Rent Calculator'!$D$21),0)</f>
        <v>53657.538348490372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21" ht="14.25" customHeight="1" x14ac:dyDescent="0.2">
      <c r="B36" s="91">
        <v>32</v>
      </c>
      <c r="C36" s="92">
        <f>IF(Table_1[[#This Row],[Column1]]&lt;='Buy Vs Rent Calculator'!$D$13*12,'Buy Vs Rent Calculator'!$D$22,0)</f>
        <v>69425.85866924272</v>
      </c>
      <c r="D36" s="92">
        <f>IF(Table_1[[#This Row],[Column1]]&lt;='Buy Vs Rent Calculator'!$D$13*12,-PPMT('Buy Vs Rent Calculator'!$D$12/12,Table_1[[#This Row],[Column1]],'Buy Vs Rent Calculator'!$D$13*12,'Buy Vs Rent Calculator'!$D$21),0)</f>
        <v>15880.012589691021</v>
      </c>
      <c r="E36" s="92">
        <f>IF(Table_1[[#This Row],[Column1]]&lt;='Buy Vs Rent Calculator'!$D$13*12,-IPMT('Buy Vs Rent Calculator'!$D$12/12,Table_1[[#This Row],[Column1]],'Buy Vs Rent Calculator'!$D$13*12,'Buy Vs Rent Calculator'!$D$21),0)</f>
        <v>53545.846079551695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21" ht="14.25" customHeight="1" x14ac:dyDescent="0.2">
      <c r="B37" s="91">
        <v>33</v>
      </c>
      <c r="C37" s="92">
        <f>IF(Table_1[[#This Row],[Column1]]&lt;='Buy Vs Rent Calculator'!$D$13*12,'Buy Vs Rent Calculator'!$D$22,0)</f>
        <v>69425.85866924272</v>
      </c>
      <c r="D37" s="92">
        <f>IF(Table_1[[#This Row],[Column1]]&lt;='Buy Vs Rent Calculator'!$D$13*12,-PPMT('Buy Vs Rent Calculator'!$D$12/12,Table_1[[#This Row],[Column1]],'Buy Vs Rent Calculator'!$D$13*12,'Buy Vs Rent Calculator'!$D$21),0)</f>
        <v>15992.496012201331</v>
      </c>
      <c r="E37" s="92">
        <f>IF(Table_1[[#This Row],[Column1]]&lt;='Buy Vs Rent Calculator'!$D$13*12,-IPMT('Buy Vs Rent Calculator'!$D$12/12,Table_1[[#This Row],[Column1]],'Buy Vs Rent Calculator'!$D$13*12,'Buy Vs Rent Calculator'!$D$21),0)</f>
        <v>53433.362657041391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21" ht="14.25" customHeight="1" x14ac:dyDescent="0.2">
      <c r="B38" s="91">
        <v>34</v>
      </c>
      <c r="C38" s="92">
        <f>IF(Table_1[[#This Row],[Column1]]&lt;='Buy Vs Rent Calculator'!$D$13*12,'Buy Vs Rent Calculator'!$D$22,0)</f>
        <v>69425.85866924272</v>
      </c>
      <c r="D38" s="92">
        <f>IF(Table_1[[#This Row],[Column1]]&lt;='Buy Vs Rent Calculator'!$D$13*12,-PPMT('Buy Vs Rent Calculator'!$D$12/12,Table_1[[#This Row],[Column1]],'Buy Vs Rent Calculator'!$D$13*12,'Buy Vs Rent Calculator'!$D$21),0)</f>
        <v>16105.776192287754</v>
      </c>
      <c r="E38" s="92">
        <f>IF(Table_1[[#This Row],[Column1]]&lt;='Buy Vs Rent Calculator'!$D$13*12,-IPMT('Buy Vs Rent Calculator'!$D$12/12,Table_1[[#This Row],[Column1]],'Buy Vs Rent Calculator'!$D$13*12,'Buy Vs Rent Calculator'!$D$21),0)</f>
        <v>53320.082476954965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21" ht="14.25" customHeight="1" x14ac:dyDescent="0.2">
      <c r="B39" s="91">
        <v>35</v>
      </c>
      <c r="C39" s="92">
        <f>IF(Table_1[[#This Row],[Column1]]&lt;='Buy Vs Rent Calculator'!$D$13*12,'Buy Vs Rent Calculator'!$D$22,0)</f>
        <v>69425.85866924272</v>
      </c>
      <c r="D39" s="92">
        <f>IF(Table_1[[#This Row],[Column1]]&lt;='Buy Vs Rent Calculator'!$D$13*12,-PPMT('Buy Vs Rent Calculator'!$D$12/12,Table_1[[#This Row],[Column1]],'Buy Vs Rent Calculator'!$D$13*12,'Buy Vs Rent Calculator'!$D$21),0)</f>
        <v>16219.858773649794</v>
      </c>
      <c r="E39" s="92">
        <f>IF(Table_1[[#This Row],[Column1]]&lt;='Buy Vs Rent Calculator'!$D$13*12,-IPMT('Buy Vs Rent Calculator'!$D$12/12,Table_1[[#This Row],[Column1]],'Buy Vs Rent Calculator'!$D$13*12,'Buy Vs Rent Calculator'!$D$21),0)</f>
        <v>53205.999895592919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21" ht="14.25" customHeight="1" x14ac:dyDescent="0.2">
      <c r="B40" s="91">
        <v>36</v>
      </c>
      <c r="C40" s="92">
        <f>IF(Table_1[[#This Row],[Column1]]&lt;='Buy Vs Rent Calculator'!$D$13*12,'Buy Vs Rent Calculator'!$D$22,0)</f>
        <v>69425.85866924272</v>
      </c>
      <c r="D40" s="92">
        <f>IF(Table_1[[#This Row],[Column1]]&lt;='Buy Vs Rent Calculator'!$D$13*12,-PPMT('Buy Vs Rent Calculator'!$D$12/12,Table_1[[#This Row],[Column1]],'Buy Vs Rent Calculator'!$D$13*12,'Buy Vs Rent Calculator'!$D$21),0)</f>
        <v>16334.749439963147</v>
      </c>
      <c r="E40" s="92">
        <f>IF(Table_1[[#This Row],[Column1]]&lt;='Buy Vs Rent Calculator'!$D$13*12,-IPMT('Buy Vs Rent Calculator'!$D$12/12,Table_1[[#This Row],[Column1]],'Buy Vs Rent Calculator'!$D$13*12,'Buy Vs Rent Calculator'!$D$21),0)</f>
        <v>53091.109229279573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21" ht="14.25" customHeight="1" x14ac:dyDescent="0.2">
      <c r="B41" s="91">
        <v>37</v>
      </c>
      <c r="C41" s="92">
        <f>IF(Table_1[[#This Row],[Column1]]&lt;='Buy Vs Rent Calculator'!$D$13*12,'Buy Vs Rent Calculator'!$D$22,0)</f>
        <v>69425.85866924272</v>
      </c>
      <c r="D41" s="92">
        <f>IF(Table_1[[#This Row],[Column1]]&lt;='Buy Vs Rent Calculator'!$D$13*12,-PPMT('Buy Vs Rent Calculator'!$D$12/12,Table_1[[#This Row],[Column1]],'Buy Vs Rent Calculator'!$D$13*12,'Buy Vs Rent Calculator'!$D$21),0)</f>
        <v>16450.453915162885</v>
      </c>
      <c r="E41" s="92">
        <f>IF(Table_1[[#This Row],[Column1]]&lt;='Buy Vs Rent Calculator'!$D$13*12,-IPMT('Buy Vs Rent Calculator'!$D$12/12,Table_1[[#This Row],[Column1]],'Buy Vs Rent Calculator'!$D$13*12,'Buy Vs Rent Calculator'!$D$21),0)</f>
        <v>52975.404754079835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21" ht="14.25" customHeight="1" x14ac:dyDescent="0.2">
      <c r="B42" s="91">
        <v>38</v>
      </c>
      <c r="C42" s="92">
        <f>IF(Table_1[[#This Row],[Column1]]&lt;='Buy Vs Rent Calculator'!$D$13*12,'Buy Vs Rent Calculator'!$D$22,0)</f>
        <v>69425.85866924272</v>
      </c>
      <c r="D42" s="92">
        <f>IF(Table_1[[#This Row],[Column1]]&lt;='Buy Vs Rent Calculator'!$D$13*12,-PPMT('Buy Vs Rent Calculator'!$D$12/12,Table_1[[#This Row],[Column1]],'Buy Vs Rent Calculator'!$D$13*12,'Buy Vs Rent Calculator'!$D$21),0)</f>
        <v>16566.977963728623</v>
      </c>
      <c r="E42" s="92">
        <f>IF(Table_1[[#This Row],[Column1]]&lt;='Buy Vs Rent Calculator'!$D$13*12,-IPMT('Buy Vs Rent Calculator'!$D$12/12,Table_1[[#This Row],[Column1]],'Buy Vs Rent Calculator'!$D$13*12,'Buy Vs Rent Calculator'!$D$21),0)</f>
        <v>52858.880705514101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21" ht="14.25" customHeight="1" x14ac:dyDescent="0.2">
      <c r="B43" s="91">
        <v>39</v>
      </c>
      <c r="C43" s="92">
        <f>IF(Table_1[[#This Row],[Column1]]&lt;='Buy Vs Rent Calculator'!$D$13*12,'Buy Vs Rent Calculator'!$D$22,0)</f>
        <v>69425.85866924272</v>
      </c>
      <c r="D43" s="92">
        <f>IF(Table_1[[#This Row],[Column1]]&lt;='Buy Vs Rent Calculator'!$D$13*12,-PPMT('Buy Vs Rent Calculator'!$D$12/12,Table_1[[#This Row],[Column1]],'Buy Vs Rent Calculator'!$D$13*12,'Buy Vs Rent Calculator'!$D$21),0)</f>
        <v>16684.327390971699</v>
      </c>
      <c r="E43" s="92">
        <f>IF(Table_1[[#This Row],[Column1]]&lt;='Buy Vs Rent Calculator'!$D$13*12,-IPMT('Buy Vs Rent Calculator'!$D$12/12,Table_1[[#This Row],[Column1]],'Buy Vs Rent Calculator'!$D$13*12,'Buy Vs Rent Calculator'!$D$21),0)</f>
        <v>52741.531278271024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21" ht="14.25" customHeight="1" x14ac:dyDescent="0.2">
      <c r="B44" s="91">
        <v>40</v>
      </c>
      <c r="C44" s="92">
        <f>IF(Table_1[[#This Row],[Column1]]&lt;='Buy Vs Rent Calculator'!$D$13*12,'Buy Vs Rent Calculator'!$D$22,0)</f>
        <v>69425.85866924272</v>
      </c>
      <c r="D44" s="92">
        <f>IF(Table_1[[#This Row],[Column1]]&lt;='Buy Vs Rent Calculator'!$D$13*12,-PPMT('Buy Vs Rent Calculator'!$D$12/12,Table_1[[#This Row],[Column1]],'Buy Vs Rent Calculator'!$D$13*12,'Buy Vs Rent Calculator'!$D$21),0)</f>
        <v>16802.508043324415</v>
      </c>
      <c r="E44" s="92">
        <f>IF(Table_1[[#This Row],[Column1]]&lt;='Buy Vs Rent Calculator'!$D$13*12,-IPMT('Buy Vs Rent Calculator'!$D$12/12,Table_1[[#This Row],[Column1]],'Buy Vs Rent Calculator'!$D$13*12,'Buy Vs Rent Calculator'!$D$21),0)</f>
        <v>52623.350625918305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21" ht="14.25" customHeight="1" x14ac:dyDescent="0.2">
      <c r="B45" s="91">
        <v>41</v>
      </c>
      <c r="C45" s="92">
        <f>IF(Table_1[[#This Row],[Column1]]&lt;='Buy Vs Rent Calculator'!$D$13*12,'Buy Vs Rent Calculator'!$D$22,0)</f>
        <v>69425.85866924272</v>
      </c>
      <c r="D45" s="92">
        <f>IF(Table_1[[#This Row],[Column1]]&lt;='Buy Vs Rent Calculator'!$D$13*12,-PPMT('Buy Vs Rent Calculator'!$D$12/12,Table_1[[#This Row],[Column1]],'Buy Vs Rent Calculator'!$D$13*12,'Buy Vs Rent Calculator'!$D$21),0)</f>
        <v>16921.525808631297</v>
      </c>
      <c r="E45" s="92">
        <f>IF(Table_1[[#This Row],[Column1]]&lt;='Buy Vs Rent Calculator'!$D$13*12,-IPMT('Buy Vs Rent Calculator'!$D$12/12,Table_1[[#This Row],[Column1]],'Buy Vs Rent Calculator'!$D$13*12,'Buy Vs Rent Calculator'!$D$21),0)</f>
        <v>52504.332860611423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21" ht="14.25" customHeight="1" x14ac:dyDescent="0.2">
      <c r="B46" s="91">
        <v>42</v>
      </c>
      <c r="C46" s="92">
        <f>IF(Table_1[[#This Row],[Column1]]&lt;='Buy Vs Rent Calculator'!$D$13*12,'Buy Vs Rent Calculator'!$D$22,0)</f>
        <v>69425.85866924272</v>
      </c>
      <c r="D46" s="92">
        <f>IF(Table_1[[#This Row],[Column1]]&lt;='Buy Vs Rent Calculator'!$D$13*12,-PPMT('Buy Vs Rent Calculator'!$D$12/12,Table_1[[#This Row],[Column1]],'Buy Vs Rent Calculator'!$D$13*12,'Buy Vs Rent Calculator'!$D$21),0)</f>
        <v>17041.38661644244</v>
      </c>
      <c r="E46" s="92">
        <f>IF(Table_1[[#This Row],[Column1]]&lt;='Buy Vs Rent Calculator'!$D$13*12,-IPMT('Buy Vs Rent Calculator'!$D$12/12,Table_1[[#This Row],[Column1]],'Buy Vs Rent Calculator'!$D$13*12,'Buy Vs Rent Calculator'!$D$21),0)</f>
        <v>52384.47205280028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21" ht="14.25" customHeight="1" x14ac:dyDescent="0.2">
      <c r="B47" s="91">
        <v>43</v>
      </c>
      <c r="C47" s="92">
        <f>IF(Table_1[[#This Row],[Column1]]&lt;='Buy Vs Rent Calculator'!$D$13*12,'Buy Vs Rent Calculator'!$D$22,0)</f>
        <v>69425.85866924272</v>
      </c>
      <c r="D47" s="92">
        <f>IF(Table_1[[#This Row],[Column1]]&lt;='Buy Vs Rent Calculator'!$D$13*12,-PPMT('Buy Vs Rent Calculator'!$D$12/12,Table_1[[#This Row],[Column1]],'Buy Vs Rent Calculator'!$D$13*12,'Buy Vs Rent Calculator'!$D$21),0)</f>
        <v>17162.096438308905</v>
      </c>
      <c r="E47" s="92">
        <f>IF(Table_1[[#This Row],[Column1]]&lt;='Buy Vs Rent Calculator'!$D$13*12,-IPMT('Buy Vs Rent Calculator'!$D$12/12,Table_1[[#This Row],[Column1]],'Buy Vs Rent Calculator'!$D$13*12,'Buy Vs Rent Calculator'!$D$21),0)</f>
        <v>52263.762230933819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21" ht="14.25" customHeight="1" x14ac:dyDescent="0.2">
      <c r="B48" s="91">
        <v>44</v>
      </c>
      <c r="C48" s="92">
        <f>IF(Table_1[[#This Row],[Column1]]&lt;='Buy Vs Rent Calculator'!$D$13*12,'Buy Vs Rent Calculator'!$D$22,0)</f>
        <v>69425.85866924272</v>
      </c>
      <c r="D48" s="92">
        <f>IF(Table_1[[#This Row],[Column1]]&lt;='Buy Vs Rent Calculator'!$D$13*12,-PPMT('Buy Vs Rent Calculator'!$D$12/12,Table_1[[#This Row],[Column1]],'Buy Vs Rent Calculator'!$D$13*12,'Buy Vs Rent Calculator'!$D$21),0)</f>
        <v>17283.66128808026</v>
      </c>
      <c r="E48" s="92">
        <f>IF(Table_1[[#This Row],[Column1]]&lt;='Buy Vs Rent Calculator'!$D$13*12,-IPMT('Buy Vs Rent Calculator'!$D$12/12,Table_1[[#This Row],[Column1]],'Buy Vs Rent Calculator'!$D$13*12,'Buy Vs Rent Calculator'!$D$21),0)</f>
        <v>52142.197381162463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ht="14.25" customHeight="1" x14ac:dyDescent="0.2">
      <c r="B49" s="91">
        <v>45</v>
      </c>
      <c r="C49" s="92">
        <f>IF(Table_1[[#This Row],[Column1]]&lt;='Buy Vs Rent Calculator'!$D$13*12,'Buy Vs Rent Calculator'!$D$22,0)</f>
        <v>69425.85866924272</v>
      </c>
      <c r="D49" s="92">
        <f>IF(Table_1[[#This Row],[Column1]]&lt;='Buy Vs Rent Calculator'!$D$13*12,-PPMT('Buy Vs Rent Calculator'!$D$12/12,Table_1[[#This Row],[Column1]],'Buy Vs Rent Calculator'!$D$13*12,'Buy Vs Rent Calculator'!$D$21),0)</f>
        <v>17406.087222204162</v>
      </c>
      <c r="E49" s="92">
        <f>IF(Table_1[[#This Row],[Column1]]&lt;='Buy Vs Rent Calculator'!$D$13*12,-IPMT('Buy Vs Rent Calculator'!$D$12/12,Table_1[[#This Row],[Column1]],'Buy Vs Rent Calculator'!$D$13*12,'Buy Vs Rent Calculator'!$D$21),0)</f>
        <v>52019.771447038554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ht="14.25" customHeight="1" x14ac:dyDescent="0.2">
      <c r="B50" s="91">
        <v>46</v>
      </c>
      <c r="C50" s="92">
        <f>IF(Table_1[[#This Row],[Column1]]&lt;='Buy Vs Rent Calculator'!$D$13*12,'Buy Vs Rent Calculator'!$D$22,0)</f>
        <v>69425.85866924272</v>
      </c>
      <c r="D50" s="92">
        <f>IF(Table_1[[#This Row],[Column1]]&lt;='Buy Vs Rent Calculator'!$D$13*12,-PPMT('Buy Vs Rent Calculator'!$D$12/12,Table_1[[#This Row],[Column1]],'Buy Vs Rent Calculator'!$D$13*12,'Buy Vs Rent Calculator'!$D$21),0)</f>
        <v>17529.380340028107</v>
      </c>
      <c r="E50" s="92">
        <f>IF(Table_1[[#This Row],[Column1]]&lt;='Buy Vs Rent Calculator'!$D$13*12,-IPMT('Buy Vs Rent Calculator'!$D$12/12,Table_1[[#This Row],[Column1]],'Buy Vs Rent Calculator'!$D$13*12,'Buy Vs Rent Calculator'!$D$21),0)</f>
        <v>51896.478329214609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ht="14.25" customHeight="1" x14ac:dyDescent="0.2">
      <c r="B51" s="91">
        <v>47</v>
      </c>
      <c r="C51" s="92">
        <f>IF(Table_1[[#This Row],[Column1]]&lt;='Buy Vs Rent Calculator'!$D$13*12,'Buy Vs Rent Calculator'!$D$22,0)</f>
        <v>69425.85866924272</v>
      </c>
      <c r="D51" s="92">
        <f>IF(Table_1[[#This Row],[Column1]]&lt;='Buy Vs Rent Calculator'!$D$13*12,-PPMT('Buy Vs Rent Calculator'!$D$12/12,Table_1[[#This Row],[Column1]],'Buy Vs Rent Calculator'!$D$13*12,'Buy Vs Rent Calculator'!$D$21),0)</f>
        <v>17653.546784103306</v>
      </c>
      <c r="E51" s="92">
        <f>IF(Table_1[[#This Row],[Column1]]&lt;='Buy Vs Rent Calculator'!$D$13*12,-IPMT('Buy Vs Rent Calculator'!$D$12/12,Table_1[[#This Row],[Column1]],'Buy Vs Rent Calculator'!$D$13*12,'Buy Vs Rent Calculator'!$D$21),0)</f>
        <v>51772.31188513941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ht="14.25" customHeight="1" x14ac:dyDescent="0.2">
      <c r="B52" s="91">
        <v>48</v>
      </c>
      <c r="C52" s="92">
        <f>IF(Table_1[[#This Row],[Column1]]&lt;='Buy Vs Rent Calculator'!$D$13*12,'Buy Vs Rent Calculator'!$D$22,0)</f>
        <v>69425.85866924272</v>
      </c>
      <c r="D52" s="92">
        <f>IF(Table_1[[#This Row],[Column1]]&lt;='Buy Vs Rent Calculator'!$D$13*12,-PPMT('Buy Vs Rent Calculator'!$D$12/12,Table_1[[#This Row],[Column1]],'Buy Vs Rent Calculator'!$D$13*12,'Buy Vs Rent Calculator'!$D$21),0)</f>
        <v>17778.592740490702</v>
      </c>
      <c r="E52" s="92">
        <f>IF(Table_1[[#This Row],[Column1]]&lt;='Buy Vs Rent Calculator'!$D$13*12,-IPMT('Buy Vs Rent Calculator'!$D$12/12,Table_1[[#This Row],[Column1]],'Buy Vs Rent Calculator'!$D$13*12,'Buy Vs Rent Calculator'!$D$21),0)</f>
        <v>51647.265928752022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ht="14.25" customHeight="1" x14ac:dyDescent="0.2">
      <c r="B53" s="91">
        <v>49</v>
      </c>
      <c r="C53" s="92">
        <f>IF(Table_1[[#This Row],[Column1]]&lt;='Buy Vs Rent Calculator'!$D$13*12,'Buy Vs Rent Calculator'!$D$22,0)</f>
        <v>69425.85866924272</v>
      </c>
      <c r="D53" s="92">
        <f>IF(Table_1[[#This Row],[Column1]]&lt;='Buy Vs Rent Calculator'!$D$13*12,-PPMT('Buy Vs Rent Calculator'!$D$12/12,Table_1[[#This Row],[Column1]],'Buy Vs Rent Calculator'!$D$13*12,'Buy Vs Rent Calculator'!$D$21),0)</f>
        <v>17904.524439069181</v>
      </c>
      <c r="E53" s="92">
        <f>IF(Table_1[[#This Row],[Column1]]&lt;='Buy Vs Rent Calculator'!$D$13*12,-IPMT('Buy Vs Rent Calculator'!$D$12/12,Table_1[[#This Row],[Column1]],'Buy Vs Rent Calculator'!$D$13*12,'Buy Vs Rent Calculator'!$D$21),0)</f>
        <v>51521.334230173547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ht="14.25" customHeight="1" x14ac:dyDescent="0.2">
      <c r="B54" s="91">
        <v>50</v>
      </c>
      <c r="C54" s="92">
        <f>IF(Table_1[[#This Row],[Column1]]&lt;='Buy Vs Rent Calculator'!$D$13*12,'Buy Vs Rent Calculator'!$D$22,0)</f>
        <v>69425.85866924272</v>
      </c>
      <c r="D54" s="92">
        <f>IF(Table_1[[#This Row],[Column1]]&lt;='Buy Vs Rent Calculator'!$D$13*12,-PPMT('Buy Vs Rent Calculator'!$D$12/12,Table_1[[#This Row],[Column1]],'Buy Vs Rent Calculator'!$D$13*12,'Buy Vs Rent Calculator'!$D$21),0)</f>
        <v>18031.348153845916</v>
      </c>
      <c r="E54" s="92">
        <f>IF(Table_1[[#This Row],[Column1]]&lt;='Buy Vs Rent Calculator'!$D$13*12,-IPMT('Buy Vs Rent Calculator'!$D$12/12,Table_1[[#This Row],[Column1]],'Buy Vs Rent Calculator'!$D$13*12,'Buy Vs Rent Calculator'!$D$21),0)</f>
        <v>51394.510515396803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ht="14.25" customHeight="1" x14ac:dyDescent="0.2">
      <c r="B55" s="91">
        <v>51</v>
      </c>
      <c r="C55" s="92">
        <f>IF(Table_1[[#This Row],[Column1]]&lt;='Buy Vs Rent Calculator'!$D$13*12,'Buy Vs Rent Calculator'!$D$22,0)</f>
        <v>69425.85866924272</v>
      </c>
      <c r="D55" s="92">
        <f>IF(Table_1[[#This Row],[Column1]]&lt;='Buy Vs Rent Calculator'!$D$13*12,-PPMT('Buy Vs Rent Calculator'!$D$12/12,Table_1[[#This Row],[Column1]],'Buy Vs Rent Calculator'!$D$13*12,'Buy Vs Rent Calculator'!$D$21),0)</f>
        <v>18159.070203268991</v>
      </c>
      <c r="E55" s="92">
        <f>IF(Table_1[[#This Row],[Column1]]&lt;='Buy Vs Rent Calculator'!$D$13*12,-IPMT('Buy Vs Rent Calculator'!$D$12/12,Table_1[[#This Row],[Column1]],'Buy Vs Rent Calculator'!$D$13*12,'Buy Vs Rent Calculator'!$D$21),0)</f>
        <v>51266.788465973725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ht="14.25" customHeight="1" x14ac:dyDescent="0.2">
      <c r="B56" s="91">
        <v>52</v>
      </c>
      <c r="C56" s="92">
        <f>IF(Table_1[[#This Row],[Column1]]&lt;='Buy Vs Rent Calculator'!$D$13*12,'Buy Vs Rent Calculator'!$D$22,0)</f>
        <v>69425.85866924272</v>
      </c>
      <c r="D56" s="92">
        <f>IF(Table_1[[#This Row],[Column1]]&lt;='Buy Vs Rent Calculator'!$D$13*12,-PPMT('Buy Vs Rent Calculator'!$D$12/12,Table_1[[#This Row],[Column1]],'Buy Vs Rent Calculator'!$D$13*12,'Buy Vs Rent Calculator'!$D$21),0)</f>
        <v>18287.696950542151</v>
      </c>
      <c r="E56" s="92">
        <f>IF(Table_1[[#This Row],[Column1]]&lt;='Buy Vs Rent Calculator'!$D$13*12,-IPMT('Buy Vs Rent Calculator'!$D$12/12,Table_1[[#This Row],[Column1]],'Buy Vs Rent Calculator'!$D$13*12,'Buy Vs Rent Calculator'!$D$21),0)</f>
        <v>51138.161718700576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ht="14.25" customHeight="1" x14ac:dyDescent="0.2">
      <c r="B57" s="91">
        <v>53</v>
      </c>
      <c r="C57" s="92">
        <f>IF(Table_1[[#This Row],[Column1]]&lt;='Buy Vs Rent Calculator'!$D$13*12,'Buy Vs Rent Calculator'!$D$22,0)</f>
        <v>69425.85866924272</v>
      </c>
      <c r="D57" s="92">
        <f>IF(Table_1[[#This Row],[Column1]]&lt;='Buy Vs Rent Calculator'!$D$13*12,-PPMT('Buy Vs Rent Calculator'!$D$12/12,Table_1[[#This Row],[Column1]],'Buy Vs Rent Calculator'!$D$13*12,'Buy Vs Rent Calculator'!$D$21),0)</f>
        <v>18417.234803941825</v>
      </c>
      <c r="E57" s="92">
        <f>IF(Table_1[[#This Row],[Column1]]&lt;='Buy Vs Rent Calculator'!$D$13*12,-IPMT('Buy Vs Rent Calculator'!$D$12/12,Table_1[[#This Row],[Column1]],'Buy Vs Rent Calculator'!$D$13*12,'Buy Vs Rent Calculator'!$D$21),0)</f>
        <v>51008.623865300899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ht="14.25" customHeight="1" x14ac:dyDescent="0.2">
      <c r="B58" s="91">
        <v>54</v>
      </c>
      <c r="C58" s="92">
        <f>IF(Table_1[[#This Row],[Column1]]&lt;='Buy Vs Rent Calculator'!$D$13*12,'Buy Vs Rent Calculator'!$D$22,0)</f>
        <v>69425.85866924272</v>
      </c>
      <c r="D58" s="92">
        <f>IF(Table_1[[#This Row],[Column1]]&lt;='Buy Vs Rent Calculator'!$D$13*12,-PPMT('Buy Vs Rent Calculator'!$D$12/12,Table_1[[#This Row],[Column1]],'Buy Vs Rent Calculator'!$D$13*12,'Buy Vs Rent Calculator'!$D$21),0)</f>
        <v>18547.690217136413</v>
      </c>
      <c r="E58" s="92">
        <f>IF(Table_1[[#This Row],[Column1]]&lt;='Buy Vs Rent Calculator'!$D$13*12,-IPMT('Buy Vs Rent Calculator'!$D$12/12,Table_1[[#This Row],[Column1]],'Buy Vs Rent Calculator'!$D$13*12,'Buy Vs Rent Calculator'!$D$21),0)</f>
        <v>50878.168452106307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ht="14.25" customHeight="1" x14ac:dyDescent="0.2">
      <c r="B59" s="91">
        <v>55</v>
      </c>
      <c r="C59" s="92">
        <f>IF(Table_1[[#This Row],[Column1]]&lt;='Buy Vs Rent Calculator'!$D$13*12,'Buy Vs Rent Calculator'!$D$22,0)</f>
        <v>69425.85866924272</v>
      </c>
      <c r="D59" s="92">
        <f>IF(Table_1[[#This Row],[Column1]]&lt;='Buy Vs Rent Calculator'!$D$13*12,-PPMT('Buy Vs Rent Calculator'!$D$12/12,Table_1[[#This Row],[Column1]],'Buy Vs Rent Calculator'!$D$13*12,'Buy Vs Rent Calculator'!$D$21),0)</f>
        <v>18679.069689507796</v>
      </c>
      <c r="E59" s="92">
        <f>IF(Table_1[[#This Row],[Column1]]&lt;='Buy Vs Rent Calculator'!$D$13*12,-IPMT('Buy Vs Rent Calculator'!$D$12/12,Table_1[[#This Row],[Column1]],'Buy Vs Rent Calculator'!$D$13*12,'Buy Vs Rent Calculator'!$D$21),0)</f>
        <v>50746.788979734934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ht="14.25" customHeight="1" x14ac:dyDescent="0.2">
      <c r="B60" s="91">
        <v>56</v>
      </c>
      <c r="C60" s="92">
        <f>IF(Table_1[[#This Row],[Column1]]&lt;='Buy Vs Rent Calculator'!$D$13*12,'Buy Vs Rent Calculator'!$D$22,0)</f>
        <v>69425.85866924272</v>
      </c>
      <c r="D60" s="92">
        <f>IF(Table_1[[#This Row],[Column1]]&lt;='Buy Vs Rent Calculator'!$D$13*12,-PPMT('Buy Vs Rent Calculator'!$D$12/12,Table_1[[#This Row],[Column1]],'Buy Vs Rent Calculator'!$D$13*12,'Buy Vs Rent Calculator'!$D$21),0)</f>
        <v>18811.379766475144</v>
      </c>
      <c r="E60" s="92">
        <f>IF(Table_1[[#This Row],[Column1]]&lt;='Buy Vs Rent Calculator'!$D$13*12,-IPMT('Buy Vs Rent Calculator'!$D$12/12,Table_1[[#This Row],[Column1]],'Buy Vs Rent Calculator'!$D$13*12,'Buy Vs Rent Calculator'!$D$21),0)</f>
        <v>50614.47890276758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ht="14.25" customHeight="1" x14ac:dyDescent="0.2">
      <c r="B61" s="91">
        <v>57</v>
      </c>
      <c r="C61" s="92">
        <f>IF(Table_1[[#This Row],[Column1]]&lt;='Buy Vs Rent Calculator'!$D$13*12,'Buy Vs Rent Calculator'!$D$22,0)</f>
        <v>69425.85866924272</v>
      </c>
      <c r="D61" s="92">
        <f>IF(Table_1[[#This Row],[Column1]]&lt;='Buy Vs Rent Calculator'!$D$13*12,-PPMT('Buy Vs Rent Calculator'!$D$12/12,Table_1[[#This Row],[Column1]],'Buy Vs Rent Calculator'!$D$13*12,'Buy Vs Rent Calculator'!$D$21),0)</f>
        <v>18944.627039821004</v>
      </c>
      <c r="E61" s="92">
        <f>IF(Table_1[[#This Row],[Column1]]&lt;='Buy Vs Rent Calculator'!$D$13*12,-IPMT('Buy Vs Rent Calculator'!$D$12/12,Table_1[[#This Row],[Column1]],'Buy Vs Rent Calculator'!$D$13*12,'Buy Vs Rent Calculator'!$D$21),0)</f>
        <v>50481.231629421709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ht="14.25" customHeight="1" x14ac:dyDescent="0.2">
      <c r="B62" s="91">
        <v>58</v>
      </c>
      <c r="C62" s="92">
        <f>IF(Table_1[[#This Row],[Column1]]&lt;='Buy Vs Rent Calculator'!$D$13*12,'Buy Vs Rent Calculator'!$D$22,0)</f>
        <v>69425.85866924272</v>
      </c>
      <c r="D62" s="92">
        <f>IF(Table_1[[#This Row],[Column1]]&lt;='Buy Vs Rent Calculator'!$D$13*12,-PPMT('Buy Vs Rent Calculator'!$D$12/12,Table_1[[#This Row],[Column1]],'Buy Vs Rent Calculator'!$D$13*12,'Buy Vs Rent Calculator'!$D$21),0)</f>
        <v>19078.818148019735</v>
      </c>
      <c r="E62" s="92">
        <f>IF(Table_1[[#This Row],[Column1]]&lt;='Buy Vs Rent Calculator'!$D$13*12,-IPMT('Buy Vs Rent Calculator'!$D$12/12,Table_1[[#This Row],[Column1]],'Buy Vs Rent Calculator'!$D$13*12,'Buy Vs Rent Calculator'!$D$21),0)</f>
        <v>50347.040521222982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ht="14.25" customHeight="1" x14ac:dyDescent="0.2">
      <c r="B63" s="91">
        <v>59</v>
      </c>
      <c r="C63" s="92">
        <f>IF(Table_1[[#This Row],[Column1]]&lt;='Buy Vs Rent Calculator'!$D$13*12,'Buy Vs Rent Calculator'!$D$22,0)</f>
        <v>69425.85866924272</v>
      </c>
      <c r="D63" s="92">
        <f>IF(Table_1[[#This Row],[Column1]]&lt;='Buy Vs Rent Calculator'!$D$13*12,-PPMT('Buy Vs Rent Calculator'!$D$12/12,Table_1[[#This Row],[Column1]],'Buy Vs Rent Calculator'!$D$13*12,'Buy Vs Rent Calculator'!$D$21),0)</f>
        <v>19213.959776568212</v>
      </c>
      <c r="E63" s="92">
        <f>IF(Table_1[[#This Row],[Column1]]&lt;='Buy Vs Rent Calculator'!$D$13*12,-IPMT('Buy Vs Rent Calculator'!$D$12/12,Table_1[[#This Row],[Column1]],'Buy Vs Rent Calculator'!$D$13*12,'Buy Vs Rent Calculator'!$D$21),0)</f>
        <v>50211.898892674508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ht="14.25" customHeight="1" x14ac:dyDescent="0.2">
      <c r="B64" s="91">
        <v>60</v>
      </c>
      <c r="C64" s="92">
        <f>IF(Table_1[[#This Row],[Column1]]&lt;='Buy Vs Rent Calculator'!$D$13*12,'Buy Vs Rent Calculator'!$D$22,0)</f>
        <v>69425.85866924272</v>
      </c>
      <c r="D64" s="92">
        <f>IF(Table_1[[#This Row],[Column1]]&lt;='Buy Vs Rent Calculator'!$D$13*12,-PPMT('Buy Vs Rent Calculator'!$D$12/12,Table_1[[#This Row],[Column1]],'Buy Vs Rent Calculator'!$D$13*12,'Buy Vs Rent Calculator'!$D$21),0)</f>
        <v>19350.058658318903</v>
      </c>
      <c r="E64" s="92">
        <f>IF(Table_1[[#This Row],[Column1]]&lt;='Buy Vs Rent Calculator'!$D$13*12,-IPMT('Buy Vs Rent Calculator'!$D$12/12,Table_1[[#This Row],[Column1]],'Buy Vs Rent Calculator'!$D$13*12,'Buy Vs Rent Calculator'!$D$21),0)</f>
        <v>50075.800010923813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ht="14.25" customHeight="1" x14ac:dyDescent="0.2">
      <c r="B65" s="91">
        <v>61</v>
      </c>
      <c r="C65" s="92">
        <f>IF(Table_1[[#This Row],[Column1]]&lt;='Buy Vs Rent Calculator'!$D$13*12,'Buy Vs Rent Calculator'!$D$22,0)</f>
        <v>69425.85866924272</v>
      </c>
      <c r="D65" s="92">
        <f>IF(Table_1[[#This Row],[Column1]]&lt;='Buy Vs Rent Calculator'!$D$13*12,-PPMT('Buy Vs Rent Calculator'!$D$12/12,Table_1[[#This Row],[Column1]],'Buy Vs Rent Calculator'!$D$13*12,'Buy Vs Rent Calculator'!$D$21),0)</f>
        <v>19487.121573815326</v>
      </c>
      <c r="E65" s="92">
        <f>IF(Table_1[[#This Row],[Column1]]&lt;='Buy Vs Rent Calculator'!$D$13*12,-IPMT('Buy Vs Rent Calculator'!$D$12/12,Table_1[[#This Row],[Column1]],'Buy Vs Rent Calculator'!$D$13*12,'Buy Vs Rent Calculator'!$D$21),0)</f>
        <v>49938.737095427394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ht="14.25" customHeight="1" x14ac:dyDescent="0.2">
      <c r="B66" s="91">
        <v>62</v>
      </c>
      <c r="C66" s="92">
        <f>IF(Table_1[[#This Row],[Column1]]&lt;='Buy Vs Rent Calculator'!$D$13*12,'Buy Vs Rent Calculator'!$D$22,0)</f>
        <v>69425.85866924272</v>
      </c>
      <c r="D66" s="92">
        <f>IF(Table_1[[#This Row],[Column1]]&lt;='Buy Vs Rent Calculator'!$D$13*12,-PPMT('Buy Vs Rent Calculator'!$D$12/12,Table_1[[#This Row],[Column1]],'Buy Vs Rent Calculator'!$D$13*12,'Buy Vs Rent Calculator'!$D$21),0)</f>
        <v>19625.155351629855</v>
      </c>
      <c r="E66" s="92">
        <f>IF(Table_1[[#This Row],[Column1]]&lt;='Buy Vs Rent Calculator'!$D$13*12,-IPMT('Buy Vs Rent Calculator'!$D$12/12,Table_1[[#This Row],[Column1]],'Buy Vs Rent Calculator'!$D$13*12,'Buy Vs Rent Calculator'!$D$21),0)</f>
        <v>49800.703317612861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ht="14.25" customHeight="1" x14ac:dyDescent="0.2">
      <c r="B67" s="91">
        <v>63</v>
      </c>
      <c r="C67" s="92">
        <f>IF(Table_1[[#This Row],[Column1]]&lt;='Buy Vs Rent Calculator'!$D$13*12,'Buy Vs Rent Calculator'!$D$22,0)</f>
        <v>69425.85866924272</v>
      </c>
      <c r="D67" s="92">
        <f>IF(Table_1[[#This Row],[Column1]]&lt;='Buy Vs Rent Calculator'!$D$13*12,-PPMT('Buy Vs Rent Calculator'!$D$12/12,Table_1[[#This Row],[Column1]],'Buy Vs Rent Calculator'!$D$13*12,'Buy Vs Rent Calculator'!$D$21),0)</f>
        <v>19764.166868703902</v>
      </c>
      <c r="E67" s="92">
        <f>IF(Table_1[[#This Row],[Column1]]&lt;='Buy Vs Rent Calculator'!$D$13*12,-IPMT('Buy Vs Rent Calculator'!$D$12/12,Table_1[[#This Row],[Column1]],'Buy Vs Rent Calculator'!$D$13*12,'Buy Vs Rent Calculator'!$D$21),0)</f>
        <v>49661.691800538822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ht="14.25" customHeight="1" x14ac:dyDescent="0.2">
      <c r="B68" s="91">
        <v>64</v>
      </c>
      <c r="C68" s="92">
        <f>IF(Table_1[[#This Row],[Column1]]&lt;='Buy Vs Rent Calculator'!$D$13*12,'Buy Vs Rent Calculator'!$D$22,0)</f>
        <v>69425.85866924272</v>
      </c>
      <c r="D68" s="92">
        <f>IF(Table_1[[#This Row],[Column1]]&lt;='Buy Vs Rent Calculator'!$D$13*12,-PPMT('Buy Vs Rent Calculator'!$D$12/12,Table_1[[#This Row],[Column1]],'Buy Vs Rent Calculator'!$D$13*12,'Buy Vs Rent Calculator'!$D$21),0)</f>
        <v>19904.163050690557</v>
      </c>
      <c r="E68" s="92">
        <f>IF(Table_1[[#This Row],[Column1]]&lt;='Buy Vs Rent Calculator'!$D$13*12,-IPMT('Buy Vs Rent Calculator'!$D$12/12,Table_1[[#This Row],[Column1]],'Buy Vs Rent Calculator'!$D$13*12,'Buy Vs Rent Calculator'!$D$21),0)</f>
        <v>49521.695618552163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ht="14.25" customHeight="1" x14ac:dyDescent="0.2">
      <c r="B69" s="91">
        <v>65</v>
      </c>
      <c r="C69" s="92">
        <f>IF(Table_1[[#This Row],[Column1]]&lt;='Buy Vs Rent Calculator'!$D$13*12,'Buy Vs Rent Calculator'!$D$22,0)</f>
        <v>69425.85866924272</v>
      </c>
      <c r="D69" s="92">
        <f>IF(Table_1[[#This Row],[Column1]]&lt;='Buy Vs Rent Calculator'!$D$13*12,-PPMT('Buy Vs Rent Calculator'!$D$12/12,Table_1[[#This Row],[Column1]],'Buy Vs Rent Calculator'!$D$13*12,'Buy Vs Rent Calculator'!$D$21),0)</f>
        <v>20045.150872299611</v>
      </c>
      <c r="E69" s="92">
        <f>IF(Table_1[[#This Row],[Column1]]&lt;='Buy Vs Rent Calculator'!$D$13*12,-IPMT('Buy Vs Rent Calculator'!$D$12/12,Table_1[[#This Row],[Column1]],'Buy Vs Rent Calculator'!$D$13*12,'Buy Vs Rent Calculator'!$D$21),0)</f>
        <v>49380.707796943105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ht="14.25" customHeight="1" x14ac:dyDescent="0.2">
      <c r="B70" s="91">
        <v>66</v>
      </c>
      <c r="C70" s="92">
        <f>IF(Table_1[[#This Row],[Column1]]&lt;='Buy Vs Rent Calculator'!$D$13*12,'Buy Vs Rent Calculator'!$D$22,0)</f>
        <v>69425.85866924272</v>
      </c>
      <c r="D70" s="92">
        <f>IF(Table_1[[#This Row],[Column1]]&lt;='Buy Vs Rent Calculator'!$D$13*12,-PPMT('Buy Vs Rent Calculator'!$D$12/12,Table_1[[#This Row],[Column1]],'Buy Vs Rent Calculator'!$D$13*12,'Buy Vs Rent Calculator'!$D$21),0)</f>
        <v>20187.137357645068</v>
      </c>
      <c r="E70" s="92">
        <f>IF(Table_1[[#This Row],[Column1]]&lt;='Buy Vs Rent Calculator'!$D$13*12,-IPMT('Buy Vs Rent Calculator'!$D$12/12,Table_1[[#This Row],[Column1]],'Buy Vs Rent Calculator'!$D$13*12,'Buy Vs Rent Calculator'!$D$21),0)</f>
        <v>49238.721311597648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ht="14.25" customHeight="1" x14ac:dyDescent="0.2">
      <c r="B71" s="91">
        <v>67</v>
      </c>
      <c r="C71" s="92">
        <f>IF(Table_1[[#This Row],[Column1]]&lt;='Buy Vs Rent Calculator'!$D$13*12,'Buy Vs Rent Calculator'!$D$22,0)</f>
        <v>69425.85866924272</v>
      </c>
      <c r="D71" s="92">
        <f>IF(Table_1[[#This Row],[Column1]]&lt;='Buy Vs Rent Calculator'!$D$13*12,-PPMT('Buy Vs Rent Calculator'!$D$12/12,Table_1[[#This Row],[Column1]],'Buy Vs Rent Calculator'!$D$13*12,'Buy Vs Rent Calculator'!$D$21),0)</f>
        <v>20330.12958059505</v>
      </c>
      <c r="E71" s="92">
        <f>IF(Table_1[[#This Row],[Column1]]&lt;='Buy Vs Rent Calculator'!$D$13*12,-IPMT('Buy Vs Rent Calculator'!$D$12/12,Table_1[[#This Row],[Column1]],'Buy Vs Rent Calculator'!$D$13*12,'Buy Vs Rent Calculator'!$D$21),0)</f>
        <v>49095.729088647677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ht="14.25" customHeight="1" x14ac:dyDescent="0.2">
      <c r="B72" s="91">
        <v>68</v>
      </c>
      <c r="C72" s="92">
        <f>IF(Table_1[[#This Row],[Column1]]&lt;='Buy Vs Rent Calculator'!$D$13*12,'Buy Vs Rent Calculator'!$D$22,0)</f>
        <v>69425.85866924272</v>
      </c>
      <c r="D72" s="92">
        <f>IF(Table_1[[#This Row],[Column1]]&lt;='Buy Vs Rent Calculator'!$D$13*12,-PPMT('Buy Vs Rent Calculator'!$D$12/12,Table_1[[#This Row],[Column1]],'Buy Vs Rent Calculator'!$D$13*12,'Buy Vs Rent Calculator'!$D$21),0)</f>
        <v>20474.134665124267</v>
      </c>
      <c r="E72" s="92">
        <f>IF(Table_1[[#This Row],[Column1]]&lt;='Buy Vs Rent Calculator'!$D$13*12,-IPMT('Buy Vs Rent Calculator'!$D$12/12,Table_1[[#This Row],[Column1]],'Buy Vs Rent Calculator'!$D$13*12,'Buy Vs Rent Calculator'!$D$21),0)</f>
        <v>48951.724004118456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ht="14.25" customHeight="1" x14ac:dyDescent="0.2">
      <c r="B73" s="91">
        <v>69</v>
      </c>
      <c r="C73" s="92">
        <f>IF(Table_1[[#This Row],[Column1]]&lt;='Buy Vs Rent Calculator'!$D$13*12,'Buy Vs Rent Calculator'!$D$22,0)</f>
        <v>69425.85866924272</v>
      </c>
      <c r="D73" s="92">
        <f>IF(Table_1[[#This Row],[Column1]]&lt;='Buy Vs Rent Calculator'!$D$13*12,-PPMT('Buy Vs Rent Calculator'!$D$12/12,Table_1[[#This Row],[Column1]],'Buy Vs Rent Calculator'!$D$13*12,'Buy Vs Rent Calculator'!$D$21),0)</f>
        <v>20619.159785668897</v>
      </c>
      <c r="E73" s="92">
        <f>IF(Table_1[[#This Row],[Column1]]&lt;='Buy Vs Rent Calculator'!$D$13*12,-IPMT('Buy Vs Rent Calculator'!$D$12/12,Table_1[[#This Row],[Column1]],'Buy Vs Rent Calculator'!$D$13*12,'Buy Vs Rent Calculator'!$D$21),0)</f>
        <v>48806.698883573823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ht="14.25" customHeight="1" x14ac:dyDescent="0.2">
      <c r="B74" s="91">
        <v>70</v>
      </c>
      <c r="C74" s="92">
        <f>IF(Table_1[[#This Row],[Column1]]&lt;='Buy Vs Rent Calculator'!$D$13*12,'Buy Vs Rent Calculator'!$D$22,0)</f>
        <v>69425.85866924272</v>
      </c>
      <c r="D74" s="92">
        <f>IF(Table_1[[#This Row],[Column1]]&lt;='Buy Vs Rent Calculator'!$D$13*12,-PPMT('Buy Vs Rent Calculator'!$D$12/12,Table_1[[#This Row],[Column1]],'Buy Vs Rent Calculator'!$D$13*12,'Buy Vs Rent Calculator'!$D$21),0)</f>
        <v>20765.212167484049</v>
      </c>
      <c r="E74" s="92">
        <f>IF(Table_1[[#This Row],[Column1]]&lt;='Buy Vs Rent Calculator'!$D$13*12,-IPMT('Buy Vs Rent Calculator'!$D$12/12,Table_1[[#This Row],[Column1]],'Buy Vs Rent Calculator'!$D$13*12,'Buy Vs Rent Calculator'!$D$21),0)</f>
        <v>48660.646501758667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ht="14.25" customHeight="1" x14ac:dyDescent="0.2">
      <c r="B75" s="91">
        <v>71</v>
      </c>
      <c r="C75" s="92">
        <f>IF(Table_1[[#This Row],[Column1]]&lt;='Buy Vs Rent Calculator'!$D$13*12,'Buy Vs Rent Calculator'!$D$22,0)</f>
        <v>69425.85866924272</v>
      </c>
      <c r="D75" s="92">
        <f>IF(Table_1[[#This Row],[Column1]]&lt;='Buy Vs Rent Calculator'!$D$13*12,-PPMT('Buy Vs Rent Calculator'!$D$12/12,Table_1[[#This Row],[Column1]],'Buy Vs Rent Calculator'!$D$13*12,'Buy Vs Rent Calculator'!$D$21),0)</f>
        <v>20912.299087003728</v>
      </c>
      <c r="E75" s="92">
        <f>IF(Table_1[[#This Row],[Column1]]&lt;='Buy Vs Rent Calculator'!$D$13*12,-IPMT('Buy Vs Rent Calculator'!$D$12/12,Table_1[[#This Row],[Column1]],'Buy Vs Rent Calculator'!$D$13*12,'Buy Vs Rent Calculator'!$D$21),0)</f>
        <v>48513.559582238995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ht="14.25" customHeight="1" x14ac:dyDescent="0.2">
      <c r="B76" s="91">
        <v>72</v>
      </c>
      <c r="C76" s="92">
        <f>IF(Table_1[[#This Row],[Column1]]&lt;='Buy Vs Rent Calculator'!$D$13*12,'Buy Vs Rent Calculator'!$D$22,0)</f>
        <v>69425.85866924272</v>
      </c>
      <c r="D76" s="92">
        <f>IF(Table_1[[#This Row],[Column1]]&lt;='Buy Vs Rent Calculator'!$D$13*12,-PPMT('Buy Vs Rent Calculator'!$D$12/12,Table_1[[#This Row],[Column1]],'Buy Vs Rent Calculator'!$D$13*12,'Buy Vs Rent Calculator'!$D$21),0)</f>
        <v>21060.427872203338</v>
      </c>
      <c r="E76" s="92">
        <f>IF(Table_1[[#This Row],[Column1]]&lt;='Buy Vs Rent Calculator'!$D$13*12,-IPMT('Buy Vs Rent Calculator'!$D$12/12,Table_1[[#This Row],[Column1]],'Buy Vs Rent Calculator'!$D$13*12,'Buy Vs Rent Calculator'!$D$21),0)</f>
        <v>48365.430797039378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ht="14.25" customHeight="1" x14ac:dyDescent="0.2">
      <c r="B77" s="91">
        <v>73</v>
      </c>
      <c r="C77" s="92">
        <f>IF(Table_1[[#This Row],[Column1]]&lt;='Buy Vs Rent Calculator'!$D$13*12,'Buy Vs Rent Calculator'!$D$22,0)</f>
        <v>69425.85866924272</v>
      </c>
      <c r="D77" s="92">
        <f>IF(Table_1[[#This Row],[Column1]]&lt;='Buy Vs Rent Calculator'!$D$13*12,-PPMT('Buy Vs Rent Calculator'!$D$12/12,Table_1[[#This Row],[Column1]],'Buy Vs Rent Calculator'!$D$13*12,'Buy Vs Rent Calculator'!$D$21),0)</f>
        <v>21209.60590296478</v>
      </c>
      <c r="E77" s="92">
        <f>IF(Table_1[[#This Row],[Column1]]&lt;='Buy Vs Rent Calculator'!$D$13*12,-IPMT('Buy Vs Rent Calculator'!$D$12/12,Table_1[[#This Row],[Column1]],'Buy Vs Rent Calculator'!$D$13*12,'Buy Vs Rent Calculator'!$D$21),0)</f>
        <v>48216.252766277939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ht="14.25" customHeight="1" x14ac:dyDescent="0.2">
      <c r="B78" s="91">
        <v>74</v>
      </c>
      <c r="C78" s="92">
        <f>IF(Table_1[[#This Row],[Column1]]&lt;='Buy Vs Rent Calculator'!$D$13*12,'Buy Vs Rent Calculator'!$D$22,0)</f>
        <v>69425.85866924272</v>
      </c>
      <c r="D78" s="92">
        <f>IF(Table_1[[#This Row],[Column1]]&lt;='Buy Vs Rent Calculator'!$D$13*12,-PPMT('Buy Vs Rent Calculator'!$D$12/12,Table_1[[#This Row],[Column1]],'Buy Vs Rent Calculator'!$D$13*12,'Buy Vs Rent Calculator'!$D$21),0)</f>
        <v>21359.840611444113</v>
      </c>
      <c r="E78" s="92">
        <f>IF(Table_1[[#This Row],[Column1]]&lt;='Buy Vs Rent Calculator'!$D$13*12,-IPMT('Buy Vs Rent Calculator'!$D$12/12,Table_1[[#This Row],[Column1]],'Buy Vs Rent Calculator'!$D$13*12,'Buy Vs Rent Calculator'!$D$21),0)</f>
        <v>48066.018057798596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ht="14.25" customHeight="1" x14ac:dyDescent="0.2">
      <c r="B79" s="91">
        <v>75</v>
      </c>
      <c r="C79" s="92">
        <f>IF(Table_1[[#This Row],[Column1]]&lt;='Buy Vs Rent Calculator'!$D$13*12,'Buy Vs Rent Calculator'!$D$22,0)</f>
        <v>69425.85866924272</v>
      </c>
      <c r="D79" s="92">
        <f>IF(Table_1[[#This Row],[Column1]]&lt;='Buy Vs Rent Calculator'!$D$13*12,-PPMT('Buy Vs Rent Calculator'!$D$12/12,Table_1[[#This Row],[Column1]],'Buy Vs Rent Calculator'!$D$13*12,'Buy Vs Rent Calculator'!$D$21),0)</f>
        <v>21511.139482441842</v>
      </c>
      <c r="E79" s="92">
        <f>IF(Table_1[[#This Row],[Column1]]&lt;='Buy Vs Rent Calculator'!$D$13*12,-IPMT('Buy Vs Rent Calculator'!$D$12/12,Table_1[[#This Row],[Column1]],'Buy Vs Rent Calculator'!$D$13*12,'Buy Vs Rent Calculator'!$D$21),0)</f>
        <v>47914.719186800881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ht="14.25" customHeight="1" x14ac:dyDescent="0.2">
      <c r="B80" s="91">
        <v>76</v>
      </c>
      <c r="C80" s="92">
        <f>IF(Table_1[[#This Row],[Column1]]&lt;='Buy Vs Rent Calculator'!$D$13*12,'Buy Vs Rent Calculator'!$D$22,0)</f>
        <v>69425.85866924272</v>
      </c>
      <c r="D80" s="92">
        <f>IF(Table_1[[#This Row],[Column1]]&lt;='Buy Vs Rent Calculator'!$D$13*12,-PPMT('Buy Vs Rent Calculator'!$D$12/12,Table_1[[#This Row],[Column1]],'Buy Vs Rent Calculator'!$D$13*12,'Buy Vs Rent Calculator'!$D$21),0)</f>
        <v>21663.510053775804</v>
      </c>
      <c r="E80" s="92">
        <f>IF(Table_1[[#This Row],[Column1]]&lt;='Buy Vs Rent Calculator'!$D$13*12,-IPMT('Buy Vs Rent Calculator'!$D$12/12,Table_1[[#This Row],[Column1]],'Buy Vs Rent Calculator'!$D$13*12,'Buy Vs Rent Calculator'!$D$21),0)</f>
        <v>47762.348615466908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ht="14.25" customHeight="1" x14ac:dyDescent="0.2">
      <c r="B81" s="91">
        <v>77</v>
      </c>
      <c r="C81" s="92">
        <f>IF(Table_1[[#This Row],[Column1]]&lt;='Buy Vs Rent Calculator'!$D$13*12,'Buy Vs Rent Calculator'!$D$22,0)</f>
        <v>69425.85866924272</v>
      </c>
      <c r="D81" s="92">
        <f>IF(Table_1[[#This Row],[Column1]]&lt;='Buy Vs Rent Calculator'!$D$13*12,-PPMT('Buy Vs Rent Calculator'!$D$12/12,Table_1[[#This Row],[Column1]],'Buy Vs Rent Calculator'!$D$13*12,'Buy Vs Rent Calculator'!$D$21),0)</f>
        <v>21816.959916656717</v>
      </c>
      <c r="E81" s="92">
        <f>IF(Table_1[[#This Row],[Column1]]&lt;='Buy Vs Rent Calculator'!$D$13*12,-IPMT('Buy Vs Rent Calculator'!$D$12/12,Table_1[[#This Row],[Column1]],'Buy Vs Rent Calculator'!$D$13*12,'Buy Vs Rent Calculator'!$D$21),0)</f>
        <v>47608.898752585999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ht="14.25" customHeight="1" x14ac:dyDescent="0.2">
      <c r="B82" s="91">
        <v>78</v>
      </c>
      <c r="C82" s="92">
        <f>IF(Table_1[[#This Row],[Column1]]&lt;='Buy Vs Rent Calculator'!$D$13*12,'Buy Vs Rent Calculator'!$D$22,0)</f>
        <v>69425.85866924272</v>
      </c>
      <c r="D82" s="92">
        <f>IF(Table_1[[#This Row],[Column1]]&lt;='Buy Vs Rent Calculator'!$D$13*12,-PPMT('Buy Vs Rent Calculator'!$D$12/12,Table_1[[#This Row],[Column1]],'Buy Vs Rent Calculator'!$D$13*12,'Buy Vs Rent Calculator'!$D$21),0)</f>
        <v>21971.496716066369</v>
      </c>
      <c r="E82" s="92">
        <f>IF(Table_1[[#This Row],[Column1]]&lt;='Buy Vs Rent Calculator'!$D$13*12,-IPMT('Buy Vs Rent Calculator'!$D$12/12,Table_1[[#This Row],[Column1]],'Buy Vs Rent Calculator'!$D$13*12,'Buy Vs Rent Calculator'!$D$21),0)</f>
        <v>47454.361953176354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ht="14.25" customHeight="1" x14ac:dyDescent="0.2">
      <c r="B83" s="91">
        <v>79</v>
      </c>
      <c r="C83" s="92">
        <f>IF(Table_1[[#This Row],[Column1]]&lt;='Buy Vs Rent Calculator'!$D$13*12,'Buy Vs Rent Calculator'!$D$22,0)</f>
        <v>69425.85866924272</v>
      </c>
      <c r="D83" s="92">
        <f>IF(Table_1[[#This Row],[Column1]]&lt;='Buy Vs Rent Calculator'!$D$13*12,-PPMT('Buy Vs Rent Calculator'!$D$12/12,Table_1[[#This Row],[Column1]],'Buy Vs Rent Calculator'!$D$13*12,'Buy Vs Rent Calculator'!$D$21),0)</f>
        <v>22127.128151138506</v>
      </c>
      <c r="E83" s="92">
        <f>IF(Table_1[[#This Row],[Column1]]&lt;='Buy Vs Rent Calculator'!$D$13*12,-IPMT('Buy Vs Rent Calculator'!$D$12/12,Table_1[[#This Row],[Column1]],'Buy Vs Rent Calculator'!$D$13*12,'Buy Vs Rent Calculator'!$D$21),0)</f>
        <v>47298.73051810421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ht="14.25" customHeight="1" x14ac:dyDescent="0.2">
      <c r="B84" s="91">
        <v>80</v>
      </c>
      <c r="C84" s="92">
        <f>IF(Table_1[[#This Row],[Column1]]&lt;='Buy Vs Rent Calculator'!$D$13*12,'Buy Vs Rent Calculator'!$D$22,0)</f>
        <v>69425.85866924272</v>
      </c>
      <c r="D84" s="92">
        <f>IF(Table_1[[#This Row],[Column1]]&lt;='Buy Vs Rent Calculator'!$D$13*12,-PPMT('Buy Vs Rent Calculator'!$D$12/12,Table_1[[#This Row],[Column1]],'Buy Vs Rent Calculator'!$D$13*12,'Buy Vs Rent Calculator'!$D$21),0)</f>
        <v>22283.861975542401</v>
      </c>
      <c r="E84" s="92">
        <f>IF(Table_1[[#This Row],[Column1]]&lt;='Buy Vs Rent Calculator'!$D$13*12,-IPMT('Buy Vs Rent Calculator'!$D$12/12,Table_1[[#This Row],[Column1]],'Buy Vs Rent Calculator'!$D$13*12,'Buy Vs Rent Calculator'!$D$21),0)</f>
        <v>47141.996693700326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ht="14.25" customHeight="1" x14ac:dyDescent="0.2">
      <c r="B85" s="91">
        <v>81</v>
      </c>
      <c r="C85" s="92">
        <f>IF(Table_1[[#This Row],[Column1]]&lt;='Buy Vs Rent Calculator'!$D$13*12,'Buy Vs Rent Calculator'!$D$22,0)</f>
        <v>69425.85866924272</v>
      </c>
      <c r="D85" s="92">
        <f>IF(Table_1[[#This Row],[Column1]]&lt;='Buy Vs Rent Calculator'!$D$13*12,-PPMT('Buy Vs Rent Calculator'!$D$12/12,Table_1[[#This Row],[Column1]],'Buy Vs Rent Calculator'!$D$13*12,'Buy Vs Rent Calculator'!$D$21),0)</f>
        <v>22441.705997869161</v>
      </c>
      <c r="E85" s="92">
        <f>IF(Table_1[[#This Row],[Column1]]&lt;='Buy Vs Rent Calculator'!$D$13*12,-IPMT('Buy Vs Rent Calculator'!$D$12/12,Table_1[[#This Row],[Column1]],'Buy Vs Rent Calculator'!$D$13*12,'Buy Vs Rent Calculator'!$D$21),0)</f>
        <v>46984.152671373558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ht="14.25" customHeight="1" x14ac:dyDescent="0.2">
      <c r="B86" s="91">
        <v>82</v>
      </c>
      <c r="C86" s="92">
        <f>IF(Table_1[[#This Row],[Column1]]&lt;='Buy Vs Rent Calculator'!$D$13*12,'Buy Vs Rent Calculator'!$D$22,0)</f>
        <v>69425.85866924272</v>
      </c>
      <c r="D86" s="92">
        <f>IF(Table_1[[#This Row],[Column1]]&lt;='Buy Vs Rent Calculator'!$D$13*12,-PPMT('Buy Vs Rent Calculator'!$D$12/12,Table_1[[#This Row],[Column1]],'Buy Vs Rent Calculator'!$D$13*12,'Buy Vs Rent Calculator'!$D$21),0)</f>
        <v>22600.668082020733</v>
      </c>
      <c r="E86" s="92">
        <f>IF(Table_1[[#This Row],[Column1]]&lt;='Buy Vs Rent Calculator'!$D$13*12,-IPMT('Buy Vs Rent Calculator'!$D$12/12,Table_1[[#This Row],[Column1]],'Buy Vs Rent Calculator'!$D$13*12,'Buy Vs Rent Calculator'!$D$21),0)</f>
        <v>46825.190587221987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ht="14.25" customHeight="1" x14ac:dyDescent="0.2">
      <c r="B87" s="91">
        <v>83</v>
      </c>
      <c r="C87" s="92">
        <f>IF(Table_1[[#This Row],[Column1]]&lt;='Buy Vs Rent Calculator'!$D$13*12,'Buy Vs Rent Calculator'!$D$22,0)</f>
        <v>69425.85866924272</v>
      </c>
      <c r="D87" s="92">
        <f>IF(Table_1[[#This Row],[Column1]]&lt;='Buy Vs Rent Calculator'!$D$13*12,-PPMT('Buy Vs Rent Calculator'!$D$12/12,Table_1[[#This Row],[Column1]],'Buy Vs Rent Calculator'!$D$13*12,'Buy Vs Rent Calculator'!$D$21),0)</f>
        <v>22760.756147601718</v>
      </c>
      <c r="E87" s="92">
        <f>IF(Table_1[[#This Row],[Column1]]&lt;='Buy Vs Rent Calculator'!$D$13*12,-IPMT('Buy Vs Rent Calculator'!$D$12/12,Table_1[[#This Row],[Column1]],'Buy Vs Rent Calculator'!$D$13*12,'Buy Vs Rent Calculator'!$D$21),0)</f>
        <v>46665.102521641005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ht="14.25" customHeight="1" x14ac:dyDescent="0.2">
      <c r="B88" s="91">
        <v>84</v>
      </c>
      <c r="C88" s="92">
        <f>IF(Table_1[[#This Row],[Column1]]&lt;='Buy Vs Rent Calculator'!$D$13*12,'Buy Vs Rent Calculator'!$D$22,0)</f>
        <v>69425.85866924272</v>
      </c>
      <c r="D88" s="92">
        <f>IF(Table_1[[#This Row],[Column1]]&lt;='Buy Vs Rent Calculator'!$D$13*12,-PPMT('Buy Vs Rent Calculator'!$D$12/12,Table_1[[#This Row],[Column1]],'Buy Vs Rent Calculator'!$D$13*12,'Buy Vs Rent Calculator'!$D$21),0)</f>
        <v>22921.978170313894</v>
      </c>
      <c r="E88" s="92">
        <f>IF(Table_1[[#This Row],[Column1]]&lt;='Buy Vs Rent Calculator'!$D$13*12,-IPMT('Buy Vs Rent Calculator'!$D$12/12,Table_1[[#This Row],[Column1]],'Buy Vs Rent Calculator'!$D$13*12,'Buy Vs Rent Calculator'!$D$21),0)</f>
        <v>46503.880498928818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ht="14.25" customHeight="1" x14ac:dyDescent="0.2">
      <c r="B89" s="91">
        <v>85</v>
      </c>
      <c r="C89" s="92">
        <f>IF(Table_1[[#This Row],[Column1]]&lt;='Buy Vs Rent Calculator'!$D$13*12,'Buy Vs Rent Calculator'!$D$22,0)</f>
        <v>69425.85866924272</v>
      </c>
      <c r="D89" s="92">
        <f>IF(Table_1[[#This Row],[Column1]]&lt;='Buy Vs Rent Calculator'!$D$13*12,-PPMT('Buy Vs Rent Calculator'!$D$12/12,Table_1[[#This Row],[Column1]],'Buy Vs Rent Calculator'!$D$13*12,'Buy Vs Rent Calculator'!$D$21),0)</f>
        <v>23084.342182353623</v>
      </c>
      <c r="E89" s="92">
        <f>IF(Table_1[[#This Row],[Column1]]&lt;='Buy Vs Rent Calculator'!$D$13*12,-IPMT('Buy Vs Rent Calculator'!$D$12/12,Table_1[[#This Row],[Column1]],'Buy Vs Rent Calculator'!$D$13*12,'Buy Vs Rent Calculator'!$D$21),0)</f>
        <v>46341.516486889101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ht="14.25" customHeight="1" x14ac:dyDescent="0.2">
      <c r="B90" s="91">
        <v>86</v>
      </c>
      <c r="C90" s="92">
        <f>IF(Table_1[[#This Row],[Column1]]&lt;='Buy Vs Rent Calculator'!$D$13*12,'Buy Vs Rent Calculator'!$D$22,0)</f>
        <v>69425.85866924272</v>
      </c>
      <c r="D90" s="92">
        <f>IF(Table_1[[#This Row],[Column1]]&lt;='Buy Vs Rent Calculator'!$D$13*12,-PPMT('Buy Vs Rent Calculator'!$D$12/12,Table_1[[#This Row],[Column1]],'Buy Vs Rent Calculator'!$D$13*12,'Buy Vs Rent Calculator'!$D$21),0)</f>
        <v>23247.856272811958</v>
      </c>
      <c r="E90" s="92">
        <f>IF(Table_1[[#This Row],[Column1]]&lt;='Buy Vs Rent Calculator'!$D$13*12,-IPMT('Buy Vs Rent Calculator'!$D$12/12,Table_1[[#This Row],[Column1]],'Buy Vs Rent Calculator'!$D$13*12,'Buy Vs Rent Calculator'!$D$21),0)</f>
        <v>46178.002396430769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ht="14.25" customHeight="1" x14ac:dyDescent="0.2">
      <c r="B91" s="91">
        <v>87</v>
      </c>
      <c r="C91" s="92">
        <f>IF(Table_1[[#This Row],[Column1]]&lt;='Buy Vs Rent Calculator'!$D$13*12,'Buy Vs Rent Calculator'!$D$22,0)</f>
        <v>69425.85866924272</v>
      </c>
      <c r="D91" s="92">
        <f>IF(Table_1[[#This Row],[Column1]]&lt;='Buy Vs Rent Calculator'!$D$13*12,-PPMT('Buy Vs Rent Calculator'!$D$12/12,Table_1[[#This Row],[Column1]],'Buy Vs Rent Calculator'!$D$13*12,'Buy Vs Rent Calculator'!$D$21),0)</f>
        <v>23412.528588077708</v>
      </c>
      <c r="E91" s="92">
        <f>IF(Table_1[[#This Row],[Column1]]&lt;='Buy Vs Rent Calculator'!$D$13*12,-IPMT('Buy Vs Rent Calculator'!$D$12/12,Table_1[[#This Row],[Column1]],'Buy Vs Rent Calculator'!$D$13*12,'Buy Vs Rent Calculator'!$D$21),0)</f>
        <v>46013.330081165004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ht="14.25" customHeight="1" x14ac:dyDescent="0.2">
      <c r="B92" s="91">
        <v>88</v>
      </c>
      <c r="C92" s="92">
        <f>IF(Table_1[[#This Row],[Column1]]&lt;='Buy Vs Rent Calculator'!$D$13*12,'Buy Vs Rent Calculator'!$D$22,0)</f>
        <v>69425.85866924272</v>
      </c>
      <c r="D92" s="92">
        <f>IF(Table_1[[#This Row],[Column1]]&lt;='Buy Vs Rent Calculator'!$D$13*12,-PPMT('Buy Vs Rent Calculator'!$D$12/12,Table_1[[#This Row],[Column1]],'Buy Vs Rent Calculator'!$D$13*12,'Buy Vs Rent Calculator'!$D$21),0)</f>
        <v>23578.367332243259</v>
      </c>
      <c r="E92" s="92">
        <f>IF(Table_1[[#This Row],[Column1]]&lt;='Buy Vs Rent Calculator'!$D$13*12,-IPMT('Buy Vs Rent Calculator'!$D$12/12,Table_1[[#This Row],[Column1]],'Buy Vs Rent Calculator'!$D$13*12,'Buy Vs Rent Calculator'!$D$21),0)</f>
        <v>45847.491336999461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ht="14.25" customHeight="1" x14ac:dyDescent="0.2">
      <c r="B93" s="91">
        <v>89</v>
      </c>
      <c r="C93" s="92">
        <f>IF(Table_1[[#This Row],[Column1]]&lt;='Buy Vs Rent Calculator'!$D$13*12,'Buy Vs Rent Calculator'!$D$22,0)</f>
        <v>69425.85866924272</v>
      </c>
      <c r="D93" s="92">
        <f>IF(Table_1[[#This Row],[Column1]]&lt;='Buy Vs Rent Calculator'!$D$13*12,-PPMT('Buy Vs Rent Calculator'!$D$12/12,Table_1[[#This Row],[Column1]],'Buy Vs Rent Calculator'!$D$13*12,'Buy Vs Rent Calculator'!$D$21),0)</f>
        <v>23745.380767513314</v>
      </c>
      <c r="E93" s="92">
        <f>IF(Table_1[[#This Row],[Column1]]&lt;='Buy Vs Rent Calculator'!$D$13*12,-IPMT('Buy Vs Rent Calculator'!$D$12/12,Table_1[[#This Row],[Column1]],'Buy Vs Rent Calculator'!$D$13*12,'Buy Vs Rent Calculator'!$D$21),0)</f>
        <v>45680.477901729399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ht="14.25" customHeight="1" x14ac:dyDescent="0.2">
      <c r="B94" s="91">
        <v>90</v>
      </c>
      <c r="C94" s="92">
        <f>IF(Table_1[[#This Row],[Column1]]&lt;='Buy Vs Rent Calculator'!$D$13*12,'Buy Vs Rent Calculator'!$D$22,0)</f>
        <v>69425.85866924272</v>
      </c>
      <c r="D94" s="92">
        <f>IF(Table_1[[#This Row],[Column1]]&lt;='Buy Vs Rent Calculator'!$D$13*12,-PPMT('Buy Vs Rent Calculator'!$D$12/12,Table_1[[#This Row],[Column1]],'Buy Vs Rent Calculator'!$D$13*12,'Buy Vs Rent Calculator'!$D$21),0)</f>
        <v>23913.577214616533</v>
      </c>
      <c r="E94" s="92">
        <f>IF(Table_1[[#This Row],[Column1]]&lt;='Buy Vs Rent Calculator'!$D$13*12,-IPMT('Buy Vs Rent Calculator'!$D$12/12,Table_1[[#This Row],[Column1]],'Buy Vs Rent Calculator'!$D$13*12,'Buy Vs Rent Calculator'!$D$21),0)</f>
        <v>45512.281454626187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ht="14.25" customHeight="1" x14ac:dyDescent="0.2">
      <c r="B95" s="91">
        <v>91</v>
      </c>
      <c r="C95" s="92">
        <f>IF(Table_1[[#This Row],[Column1]]&lt;='Buy Vs Rent Calculator'!$D$13*12,'Buy Vs Rent Calculator'!$D$22,0)</f>
        <v>69425.85866924272</v>
      </c>
      <c r="D95" s="92">
        <f>IF(Table_1[[#This Row],[Column1]]&lt;='Buy Vs Rent Calculator'!$D$13*12,-PPMT('Buy Vs Rent Calculator'!$D$12/12,Table_1[[#This Row],[Column1]],'Buy Vs Rent Calculator'!$D$13*12,'Buy Vs Rent Calculator'!$D$21),0)</f>
        <v>24082.965053220065</v>
      </c>
      <c r="E95" s="92">
        <f>IF(Table_1[[#This Row],[Column1]]&lt;='Buy Vs Rent Calculator'!$D$13*12,-IPMT('Buy Vs Rent Calculator'!$D$12/12,Table_1[[#This Row],[Column1]],'Buy Vs Rent Calculator'!$D$13*12,'Buy Vs Rent Calculator'!$D$21),0)</f>
        <v>45342.893616022651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ht="14.25" customHeight="1" x14ac:dyDescent="0.2">
      <c r="B96" s="91">
        <v>92</v>
      </c>
      <c r="C96" s="92">
        <f>IF(Table_1[[#This Row],[Column1]]&lt;='Buy Vs Rent Calculator'!$D$13*12,'Buy Vs Rent Calculator'!$D$22,0)</f>
        <v>69425.85866924272</v>
      </c>
      <c r="D96" s="92">
        <f>IF(Table_1[[#This Row],[Column1]]&lt;='Buy Vs Rent Calculator'!$D$13*12,-PPMT('Buy Vs Rent Calculator'!$D$12/12,Table_1[[#This Row],[Column1]],'Buy Vs Rent Calculator'!$D$13*12,'Buy Vs Rent Calculator'!$D$21),0)</f>
        <v>24253.552722347038</v>
      </c>
      <c r="E96" s="92">
        <f>IF(Table_1[[#This Row],[Column1]]&lt;='Buy Vs Rent Calculator'!$D$13*12,-IPMT('Buy Vs Rent Calculator'!$D$12/12,Table_1[[#This Row],[Column1]],'Buy Vs Rent Calculator'!$D$13*12,'Buy Vs Rent Calculator'!$D$21),0)</f>
        <v>45172.305946895678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ht="14.25" customHeight="1" x14ac:dyDescent="0.2">
      <c r="B97" s="91">
        <v>93</v>
      </c>
      <c r="C97" s="92">
        <f>IF(Table_1[[#This Row],[Column1]]&lt;='Buy Vs Rent Calculator'!$D$13*12,'Buy Vs Rent Calculator'!$D$22,0)</f>
        <v>69425.85866924272</v>
      </c>
      <c r="D97" s="92">
        <f>IF(Table_1[[#This Row],[Column1]]&lt;='Buy Vs Rent Calculator'!$D$13*12,-PPMT('Buy Vs Rent Calculator'!$D$12/12,Table_1[[#This Row],[Column1]],'Buy Vs Rent Calculator'!$D$13*12,'Buy Vs Rent Calculator'!$D$21),0)</f>
        <v>24425.348720797007</v>
      </c>
      <c r="E97" s="92">
        <f>IF(Table_1[[#This Row],[Column1]]&lt;='Buy Vs Rent Calculator'!$D$13*12,-IPMT('Buy Vs Rent Calculator'!$D$12/12,Table_1[[#This Row],[Column1]],'Buy Vs Rent Calculator'!$D$13*12,'Buy Vs Rent Calculator'!$D$21),0)</f>
        <v>45000.509948445717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ht="14.25" customHeight="1" x14ac:dyDescent="0.2">
      <c r="B98" s="91">
        <v>94</v>
      </c>
      <c r="C98" s="92">
        <f>IF(Table_1[[#This Row],[Column1]]&lt;='Buy Vs Rent Calculator'!$D$13*12,'Buy Vs Rent Calculator'!$D$22,0)</f>
        <v>69425.85866924272</v>
      </c>
      <c r="D98" s="92">
        <f>IF(Table_1[[#This Row],[Column1]]&lt;='Buy Vs Rent Calculator'!$D$13*12,-PPMT('Buy Vs Rent Calculator'!$D$12/12,Table_1[[#This Row],[Column1]],'Buy Vs Rent Calculator'!$D$13*12,'Buy Vs Rent Calculator'!$D$21),0)</f>
        <v>24598.361607569313</v>
      </c>
      <c r="E98" s="92">
        <f>IF(Table_1[[#This Row],[Column1]]&lt;='Buy Vs Rent Calculator'!$D$13*12,-IPMT('Buy Vs Rent Calculator'!$D$12/12,Table_1[[#This Row],[Column1]],'Buy Vs Rent Calculator'!$D$13*12,'Buy Vs Rent Calculator'!$D$21),0)</f>
        <v>44827.497061673406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ht="14.25" customHeight="1" x14ac:dyDescent="0.2">
      <c r="B99" s="91">
        <v>95</v>
      </c>
      <c r="C99" s="92">
        <f>IF(Table_1[[#This Row],[Column1]]&lt;='Buy Vs Rent Calculator'!$D$13*12,'Buy Vs Rent Calculator'!$D$22,0)</f>
        <v>69425.85866924272</v>
      </c>
      <c r="D99" s="92">
        <f>IF(Table_1[[#This Row],[Column1]]&lt;='Buy Vs Rent Calculator'!$D$13*12,-PPMT('Buy Vs Rent Calculator'!$D$12/12,Table_1[[#This Row],[Column1]],'Buy Vs Rent Calculator'!$D$13*12,'Buy Vs Rent Calculator'!$D$21),0)</f>
        <v>24772.600002289597</v>
      </c>
      <c r="E99" s="92">
        <f>IF(Table_1[[#This Row],[Column1]]&lt;='Buy Vs Rent Calculator'!$D$13*12,-IPMT('Buy Vs Rent Calculator'!$D$12/12,Table_1[[#This Row],[Column1]],'Buy Vs Rent Calculator'!$D$13*12,'Buy Vs Rent Calculator'!$D$21),0)</f>
        <v>44653.25866695313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ht="14.25" customHeight="1" x14ac:dyDescent="0.2">
      <c r="B100" s="91">
        <v>96</v>
      </c>
      <c r="C100" s="92">
        <f>IF(Table_1[[#This Row],[Column1]]&lt;='Buy Vs Rent Calculator'!$D$13*12,'Buy Vs Rent Calculator'!$D$22,0)</f>
        <v>69425.85866924272</v>
      </c>
      <c r="D100" s="92">
        <f>IF(Table_1[[#This Row],[Column1]]&lt;='Buy Vs Rent Calculator'!$D$13*12,-PPMT('Buy Vs Rent Calculator'!$D$12/12,Table_1[[#This Row],[Column1]],'Buy Vs Rent Calculator'!$D$13*12,'Buy Vs Rent Calculator'!$D$21),0)</f>
        <v>24948.072585639147</v>
      </c>
      <c r="E100" s="92">
        <f>IF(Table_1[[#This Row],[Column1]]&lt;='Buy Vs Rent Calculator'!$D$13*12,-IPMT('Buy Vs Rent Calculator'!$D$12/12,Table_1[[#This Row],[Column1]],'Buy Vs Rent Calculator'!$D$13*12,'Buy Vs Rent Calculator'!$D$21),0)</f>
        <v>44477.786083603569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ht="14.25" customHeight="1" x14ac:dyDescent="0.2">
      <c r="B101" s="91">
        <v>97</v>
      </c>
      <c r="C101" s="92">
        <f>IF(Table_1[[#This Row],[Column1]]&lt;='Buy Vs Rent Calculator'!$D$13*12,'Buy Vs Rent Calculator'!$D$22,0)</f>
        <v>69425.85866924272</v>
      </c>
      <c r="D101" s="92">
        <f>IF(Table_1[[#This Row],[Column1]]&lt;='Buy Vs Rent Calculator'!$D$13*12,-PPMT('Buy Vs Rent Calculator'!$D$12/12,Table_1[[#This Row],[Column1]],'Buy Vs Rent Calculator'!$D$13*12,'Buy Vs Rent Calculator'!$D$21),0)</f>
        <v>25124.788099787424</v>
      </c>
      <c r="E101" s="92">
        <f>IF(Table_1[[#This Row],[Column1]]&lt;='Buy Vs Rent Calculator'!$D$13*12,-IPMT('Buy Vs Rent Calculator'!$D$12/12,Table_1[[#This Row],[Column1]],'Buy Vs Rent Calculator'!$D$13*12,'Buy Vs Rent Calculator'!$D$21),0)</f>
        <v>44301.070569455296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2:16" ht="14.25" customHeight="1" x14ac:dyDescent="0.2">
      <c r="B102" s="91">
        <v>98</v>
      </c>
      <c r="C102" s="92">
        <f>IF(Table_1[[#This Row],[Column1]]&lt;='Buy Vs Rent Calculator'!$D$13*12,'Buy Vs Rent Calculator'!$D$22,0)</f>
        <v>69425.85866924272</v>
      </c>
      <c r="D102" s="92">
        <f>IF(Table_1[[#This Row],[Column1]]&lt;='Buy Vs Rent Calculator'!$D$13*12,-PPMT('Buy Vs Rent Calculator'!$D$12/12,Table_1[[#This Row],[Column1]],'Buy Vs Rent Calculator'!$D$13*12,'Buy Vs Rent Calculator'!$D$21),0)</f>
        <v>25302.755348827584</v>
      </c>
      <c r="E102" s="92">
        <f>IF(Table_1[[#This Row],[Column1]]&lt;='Buy Vs Rent Calculator'!$D$13*12,-IPMT('Buy Vs Rent Calculator'!$D$12/12,Table_1[[#This Row],[Column1]],'Buy Vs Rent Calculator'!$D$13*12,'Buy Vs Rent Calculator'!$D$21),0)</f>
        <v>44123.103320415139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2:16" ht="14.25" customHeight="1" x14ac:dyDescent="0.2">
      <c r="B103" s="91">
        <v>99</v>
      </c>
      <c r="C103" s="92">
        <f>IF(Table_1[[#This Row],[Column1]]&lt;='Buy Vs Rent Calculator'!$D$13*12,'Buy Vs Rent Calculator'!$D$22,0)</f>
        <v>69425.85866924272</v>
      </c>
      <c r="D103" s="92">
        <f>IF(Table_1[[#This Row],[Column1]]&lt;='Buy Vs Rent Calculator'!$D$13*12,-PPMT('Buy Vs Rent Calculator'!$D$12/12,Table_1[[#This Row],[Column1]],'Buy Vs Rent Calculator'!$D$13*12,'Buy Vs Rent Calculator'!$D$21),0)</f>
        <v>25481.983199215116</v>
      </c>
      <c r="E103" s="92">
        <f>IF(Table_1[[#This Row],[Column1]]&lt;='Buy Vs Rent Calculator'!$D$13*12,-IPMT('Buy Vs Rent Calculator'!$D$12/12,Table_1[[#This Row],[Column1]],'Buy Vs Rent Calculator'!$D$13*12,'Buy Vs Rent Calculator'!$D$21),0)</f>
        <v>43943.875470027611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2:16" ht="14.25" customHeight="1" x14ac:dyDescent="0.2">
      <c r="B104" s="91">
        <v>100</v>
      </c>
      <c r="C104" s="92">
        <f>IF(Table_1[[#This Row],[Column1]]&lt;='Buy Vs Rent Calculator'!$D$13*12,'Buy Vs Rent Calculator'!$D$22,0)</f>
        <v>69425.85866924272</v>
      </c>
      <c r="D104" s="92">
        <f>IF(Table_1[[#This Row],[Column1]]&lt;='Buy Vs Rent Calculator'!$D$13*12,-PPMT('Buy Vs Rent Calculator'!$D$12/12,Table_1[[#This Row],[Column1]],'Buy Vs Rent Calculator'!$D$13*12,'Buy Vs Rent Calculator'!$D$21),0)</f>
        <v>25662.480580209554</v>
      </c>
      <c r="E104" s="92">
        <f>IF(Table_1[[#This Row],[Column1]]&lt;='Buy Vs Rent Calculator'!$D$13*12,-IPMT('Buy Vs Rent Calculator'!$D$12/12,Table_1[[#This Row],[Column1]],'Buy Vs Rent Calculator'!$D$13*12,'Buy Vs Rent Calculator'!$D$21),0)</f>
        <v>43763.378089033162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2:16" ht="14.25" customHeight="1" x14ac:dyDescent="0.2">
      <c r="B105" s="91">
        <v>101</v>
      </c>
      <c r="C105" s="92">
        <f>IF(Table_1[[#This Row],[Column1]]&lt;='Buy Vs Rent Calculator'!$D$13*12,'Buy Vs Rent Calculator'!$D$22,0)</f>
        <v>69425.85866924272</v>
      </c>
      <c r="D105" s="92">
        <f>IF(Table_1[[#This Row],[Column1]]&lt;='Buy Vs Rent Calculator'!$D$13*12,-PPMT('Buy Vs Rent Calculator'!$D$12/12,Table_1[[#This Row],[Column1]],'Buy Vs Rent Calculator'!$D$13*12,'Buy Vs Rent Calculator'!$D$21),0)</f>
        <v>25844.256484319372</v>
      </c>
      <c r="E105" s="92">
        <f>IF(Table_1[[#This Row],[Column1]]&lt;='Buy Vs Rent Calculator'!$D$13*12,-IPMT('Buy Vs Rent Calculator'!$D$12/12,Table_1[[#This Row],[Column1]],'Buy Vs Rent Calculator'!$D$13*12,'Buy Vs Rent Calculator'!$D$21),0)</f>
        <v>43581.602184923344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2:16" ht="14.25" customHeight="1" x14ac:dyDescent="0.2">
      <c r="B106" s="91">
        <v>102</v>
      </c>
      <c r="C106" s="92">
        <f>IF(Table_1[[#This Row],[Column1]]&lt;='Buy Vs Rent Calculator'!$D$13*12,'Buy Vs Rent Calculator'!$D$22,0)</f>
        <v>69425.85866924272</v>
      </c>
      <c r="D106" s="92">
        <f>IF(Table_1[[#This Row],[Column1]]&lt;='Buy Vs Rent Calculator'!$D$13*12,-PPMT('Buy Vs Rent Calculator'!$D$12/12,Table_1[[#This Row],[Column1]],'Buy Vs Rent Calculator'!$D$13*12,'Buy Vs Rent Calculator'!$D$21),0)</f>
        <v>26027.319967749969</v>
      </c>
      <c r="E106" s="92">
        <f>IF(Table_1[[#This Row],[Column1]]&lt;='Buy Vs Rent Calculator'!$D$13*12,-IPMT('Buy Vs Rent Calculator'!$D$12/12,Table_1[[#This Row],[Column1]],'Buy Vs Rent Calculator'!$D$13*12,'Buy Vs Rent Calculator'!$D$21),0)</f>
        <v>43398.538701492747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2:16" ht="14.25" customHeight="1" x14ac:dyDescent="0.2">
      <c r="B107" s="91">
        <v>103</v>
      </c>
      <c r="C107" s="92">
        <f>IF(Table_1[[#This Row],[Column1]]&lt;='Buy Vs Rent Calculator'!$D$13*12,'Buy Vs Rent Calculator'!$D$22,0)</f>
        <v>69425.85866924272</v>
      </c>
      <c r="D107" s="92">
        <f>IF(Table_1[[#This Row],[Column1]]&lt;='Buy Vs Rent Calculator'!$D$13*12,-PPMT('Buy Vs Rent Calculator'!$D$12/12,Table_1[[#This Row],[Column1]],'Buy Vs Rent Calculator'!$D$13*12,'Buy Vs Rent Calculator'!$D$21),0)</f>
        <v>26211.680150854863</v>
      </c>
      <c r="E107" s="92">
        <f>IF(Table_1[[#This Row],[Column1]]&lt;='Buy Vs Rent Calculator'!$D$13*12,-IPMT('Buy Vs Rent Calculator'!$D$12/12,Table_1[[#This Row],[Column1]],'Buy Vs Rent Calculator'!$D$13*12,'Buy Vs Rent Calculator'!$D$21),0)</f>
        <v>43214.17851838786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2:16" ht="14.25" customHeight="1" x14ac:dyDescent="0.2">
      <c r="B108" s="91">
        <v>104</v>
      </c>
      <c r="C108" s="92">
        <f>IF(Table_1[[#This Row],[Column1]]&lt;='Buy Vs Rent Calculator'!$D$13*12,'Buy Vs Rent Calculator'!$D$22,0)</f>
        <v>69425.85866924272</v>
      </c>
      <c r="D108" s="92">
        <f>IF(Table_1[[#This Row],[Column1]]&lt;='Buy Vs Rent Calculator'!$D$13*12,-PPMT('Buy Vs Rent Calculator'!$D$12/12,Table_1[[#This Row],[Column1]],'Buy Vs Rent Calculator'!$D$13*12,'Buy Vs Rent Calculator'!$D$21),0)</f>
        <v>26397.346218590083</v>
      </c>
      <c r="E108" s="92">
        <f>IF(Table_1[[#This Row],[Column1]]&lt;='Buy Vs Rent Calculator'!$D$13*12,-IPMT('Buy Vs Rent Calculator'!$D$12/12,Table_1[[#This Row],[Column1]],'Buy Vs Rent Calculator'!$D$13*12,'Buy Vs Rent Calculator'!$D$21),0)</f>
        <v>43028.512450652634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2:16" ht="14.25" customHeight="1" x14ac:dyDescent="0.2">
      <c r="B109" s="91">
        <v>105</v>
      </c>
      <c r="C109" s="92">
        <f>IF(Table_1[[#This Row],[Column1]]&lt;='Buy Vs Rent Calculator'!$D$13*12,'Buy Vs Rent Calculator'!$D$22,0)</f>
        <v>69425.85866924272</v>
      </c>
      <c r="D109" s="92">
        <f>IF(Table_1[[#This Row],[Column1]]&lt;='Buy Vs Rent Calculator'!$D$13*12,-PPMT('Buy Vs Rent Calculator'!$D$12/12,Table_1[[#This Row],[Column1]],'Buy Vs Rent Calculator'!$D$13*12,'Buy Vs Rent Calculator'!$D$21),0)</f>
        <v>26584.327420971764</v>
      </c>
      <c r="E109" s="92">
        <f>IF(Table_1[[#This Row],[Column1]]&lt;='Buy Vs Rent Calculator'!$D$13*12,-IPMT('Buy Vs Rent Calculator'!$D$12/12,Table_1[[#This Row],[Column1]],'Buy Vs Rent Calculator'!$D$13*12,'Buy Vs Rent Calculator'!$D$21),0)</f>
        <v>42841.531248270963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2:16" ht="14.25" customHeight="1" x14ac:dyDescent="0.2">
      <c r="B110" s="91">
        <v>106</v>
      </c>
      <c r="C110" s="92">
        <f>IF(Table_1[[#This Row],[Column1]]&lt;='Buy Vs Rent Calculator'!$D$13*12,'Buy Vs Rent Calculator'!$D$22,0)</f>
        <v>69425.85866924272</v>
      </c>
      <c r="D110" s="92">
        <f>IF(Table_1[[#This Row],[Column1]]&lt;='Buy Vs Rent Calculator'!$D$13*12,-PPMT('Buy Vs Rent Calculator'!$D$12/12,Table_1[[#This Row],[Column1]],'Buy Vs Rent Calculator'!$D$13*12,'Buy Vs Rent Calculator'!$D$21),0)</f>
        <v>26772.633073536985</v>
      </c>
      <c r="E110" s="92">
        <f>IF(Table_1[[#This Row],[Column1]]&lt;='Buy Vs Rent Calculator'!$D$13*12,-IPMT('Buy Vs Rent Calculator'!$D$12/12,Table_1[[#This Row],[Column1]],'Buy Vs Rent Calculator'!$D$13*12,'Buy Vs Rent Calculator'!$D$21),0)</f>
        <v>42653.22559570575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2:16" ht="14.25" customHeight="1" x14ac:dyDescent="0.2">
      <c r="B111" s="91">
        <v>107</v>
      </c>
      <c r="C111" s="92">
        <f>IF(Table_1[[#This Row],[Column1]]&lt;='Buy Vs Rent Calculator'!$D$13*12,'Buy Vs Rent Calculator'!$D$22,0)</f>
        <v>69425.85866924272</v>
      </c>
      <c r="D111" s="92">
        <f>IF(Table_1[[#This Row],[Column1]]&lt;='Buy Vs Rent Calculator'!$D$13*12,-PPMT('Buy Vs Rent Calculator'!$D$12/12,Table_1[[#This Row],[Column1]],'Buy Vs Rent Calculator'!$D$13*12,'Buy Vs Rent Calculator'!$D$21),0)</f>
        <v>26962.272557807868</v>
      </c>
      <c r="E111" s="92">
        <f>IF(Table_1[[#This Row],[Column1]]&lt;='Buy Vs Rent Calculator'!$D$13*12,-IPMT('Buy Vs Rent Calculator'!$D$12/12,Table_1[[#This Row],[Column1]],'Buy Vs Rent Calculator'!$D$13*12,'Buy Vs Rent Calculator'!$D$21),0)</f>
        <v>42463.586111434852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2:16" ht="14.25" customHeight="1" x14ac:dyDescent="0.2">
      <c r="B112" s="91">
        <v>108</v>
      </c>
      <c r="C112" s="92">
        <f>IF(Table_1[[#This Row],[Column1]]&lt;='Buy Vs Rent Calculator'!$D$13*12,'Buy Vs Rent Calculator'!$D$22,0)</f>
        <v>69425.85866924272</v>
      </c>
      <c r="D112" s="92">
        <f>IF(Table_1[[#This Row],[Column1]]&lt;='Buy Vs Rent Calculator'!$D$13*12,-PPMT('Buy Vs Rent Calculator'!$D$12/12,Table_1[[#This Row],[Column1]],'Buy Vs Rent Calculator'!$D$13*12,'Buy Vs Rent Calculator'!$D$21),0)</f>
        <v>27153.255321759007</v>
      </c>
      <c r="E112" s="92">
        <f>IF(Table_1[[#This Row],[Column1]]&lt;='Buy Vs Rent Calculator'!$D$13*12,-IPMT('Buy Vs Rent Calculator'!$D$12/12,Table_1[[#This Row],[Column1]],'Buy Vs Rent Calculator'!$D$13*12,'Buy Vs Rent Calculator'!$D$21),0)</f>
        <v>42272.60334748371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2:16" ht="14.25" customHeight="1" x14ac:dyDescent="0.2">
      <c r="B113" s="91">
        <v>109</v>
      </c>
      <c r="C113" s="92">
        <f>IF(Table_1[[#This Row],[Column1]]&lt;='Buy Vs Rent Calculator'!$D$13*12,'Buy Vs Rent Calculator'!$D$22,0)</f>
        <v>69425.85866924272</v>
      </c>
      <c r="D113" s="92">
        <f>IF(Table_1[[#This Row],[Column1]]&lt;='Buy Vs Rent Calculator'!$D$13*12,-PPMT('Buy Vs Rent Calculator'!$D$12/12,Table_1[[#This Row],[Column1]],'Buy Vs Rent Calculator'!$D$13*12,'Buy Vs Rent Calculator'!$D$21),0)</f>
        <v>27345.590880288131</v>
      </c>
      <c r="E113" s="92">
        <f>IF(Table_1[[#This Row],[Column1]]&lt;='Buy Vs Rent Calculator'!$D$13*12,-IPMT('Buy Vs Rent Calculator'!$D$12/12,Table_1[[#This Row],[Column1]],'Buy Vs Rent Calculator'!$D$13*12,'Buy Vs Rent Calculator'!$D$21),0)</f>
        <v>42080.267788954581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2:16" ht="14.25" customHeight="1" x14ac:dyDescent="0.2">
      <c r="B114" s="91">
        <v>110</v>
      </c>
      <c r="C114" s="92">
        <f>IF(Table_1[[#This Row],[Column1]]&lt;='Buy Vs Rent Calculator'!$D$13*12,'Buy Vs Rent Calculator'!$D$22,0)</f>
        <v>69425.85866924272</v>
      </c>
      <c r="D114" s="92">
        <f>IF(Table_1[[#This Row],[Column1]]&lt;='Buy Vs Rent Calculator'!$D$13*12,-PPMT('Buy Vs Rent Calculator'!$D$12/12,Table_1[[#This Row],[Column1]],'Buy Vs Rent Calculator'!$D$13*12,'Buy Vs Rent Calculator'!$D$21),0)</f>
        <v>27539.288815690172</v>
      </c>
      <c r="E114" s="92">
        <f>IF(Table_1[[#This Row],[Column1]]&lt;='Buy Vs Rent Calculator'!$D$13*12,-IPMT('Buy Vs Rent Calculator'!$D$12/12,Table_1[[#This Row],[Column1]],'Buy Vs Rent Calculator'!$D$13*12,'Buy Vs Rent Calculator'!$D$21),0)</f>
        <v>41886.569853552552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2:16" ht="14.25" customHeight="1" x14ac:dyDescent="0.2">
      <c r="B115" s="91">
        <v>111</v>
      </c>
      <c r="C115" s="92">
        <f>IF(Table_1[[#This Row],[Column1]]&lt;='Buy Vs Rent Calculator'!$D$13*12,'Buy Vs Rent Calculator'!$D$22,0)</f>
        <v>69425.85866924272</v>
      </c>
      <c r="D115" s="92">
        <f>IF(Table_1[[#This Row],[Column1]]&lt;='Buy Vs Rent Calculator'!$D$13*12,-PPMT('Buy Vs Rent Calculator'!$D$12/12,Table_1[[#This Row],[Column1]],'Buy Vs Rent Calculator'!$D$13*12,'Buy Vs Rent Calculator'!$D$21),0)</f>
        <v>27734.35877813465</v>
      </c>
      <c r="E115" s="92">
        <f>IF(Table_1[[#This Row],[Column1]]&lt;='Buy Vs Rent Calculator'!$D$13*12,-IPMT('Buy Vs Rent Calculator'!$D$12/12,Table_1[[#This Row],[Column1]],'Buy Vs Rent Calculator'!$D$13*12,'Buy Vs Rent Calculator'!$D$21),0)</f>
        <v>41691.499891108069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2:16" ht="14.25" customHeight="1" x14ac:dyDescent="0.2">
      <c r="B116" s="91">
        <v>112</v>
      </c>
      <c r="C116" s="92">
        <f>IF(Table_1[[#This Row],[Column1]]&lt;='Buy Vs Rent Calculator'!$D$13*12,'Buy Vs Rent Calculator'!$D$22,0)</f>
        <v>69425.85866924272</v>
      </c>
      <c r="D116" s="92">
        <f>IF(Table_1[[#This Row],[Column1]]&lt;='Buy Vs Rent Calculator'!$D$13*12,-PPMT('Buy Vs Rent Calculator'!$D$12/12,Table_1[[#This Row],[Column1]],'Buy Vs Rent Calculator'!$D$13*12,'Buy Vs Rent Calculator'!$D$21),0)</f>
        <v>27930.810486146434</v>
      </c>
      <c r="E116" s="92">
        <f>IF(Table_1[[#This Row],[Column1]]&lt;='Buy Vs Rent Calculator'!$D$13*12,-IPMT('Buy Vs Rent Calculator'!$D$12/12,Table_1[[#This Row],[Column1]],'Buy Vs Rent Calculator'!$D$13*12,'Buy Vs Rent Calculator'!$D$21),0)</f>
        <v>41495.048183096282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2:16" ht="14.25" customHeight="1" x14ac:dyDescent="0.2">
      <c r="B117" s="91">
        <v>113</v>
      </c>
      <c r="C117" s="92">
        <f>IF(Table_1[[#This Row],[Column1]]&lt;='Buy Vs Rent Calculator'!$D$13*12,'Buy Vs Rent Calculator'!$D$22,0)</f>
        <v>69425.85866924272</v>
      </c>
      <c r="D117" s="92">
        <f>IF(Table_1[[#This Row],[Column1]]&lt;='Buy Vs Rent Calculator'!$D$13*12,-PPMT('Buy Vs Rent Calculator'!$D$12/12,Table_1[[#This Row],[Column1]],'Buy Vs Rent Calculator'!$D$13*12,'Buy Vs Rent Calculator'!$D$21),0)</f>
        <v>28128.653727089975</v>
      </c>
      <c r="E117" s="92">
        <f>IF(Table_1[[#This Row],[Column1]]&lt;='Buy Vs Rent Calculator'!$D$13*12,-IPMT('Buy Vs Rent Calculator'!$D$12/12,Table_1[[#This Row],[Column1]],'Buy Vs Rent Calculator'!$D$13*12,'Buy Vs Rent Calculator'!$D$21),0)</f>
        <v>41297.204942152748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2:16" ht="14.25" customHeight="1" x14ac:dyDescent="0.2">
      <c r="B118" s="91">
        <v>114</v>
      </c>
      <c r="C118" s="92">
        <f>IF(Table_1[[#This Row],[Column1]]&lt;='Buy Vs Rent Calculator'!$D$13*12,'Buy Vs Rent Calculator'!$D$22,0)</f>
        <v>69425.85866924272</v>
      </c>
      <c r="D118" s="92">
        <f>IF(Table_1[[#This Row],[Column1]]&lt;='Buy Vs Rent Calculator'!$D$13*12,-PPMT('Buy Vs Rent Calculator'!$D$12/12,Table_1[[#This Row],[Column1]],'Buy Vs Rent Calculator'!$D$13*12,'Buy Vs Rent Calculator'!$D$21),0)</f>
        <v>28327.898357656857</v>
      </c>
      <c r="E118" s="92">
        <f>IF(Table_1[[#This Row],[Column1]]&lt;='Buy Vs Rent Calculator'!$D$13*12,-IPMT('Buy Vs Rent Calculator'!$D$12/12,Table_1[[#This Row],[Column1]],'Buy Vs Rent Calculator'!$D$13*12,'Buy Vs Rent Calculator'!$D$21),0)</f>
        <v>41097.960311585855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2:16" ht="14.25" customHeight="1" x14ac:dyDescent="0.2">
      <c r="B119" s="91">
        <v>115</v>
      </c>
      <c r="C119" s="92">
        <f>IF(Table_1[[#This Row],[Column1]]&lt;='Buy Vs Rent Calculator'!$D$13*12,'Buy Vs Rent Calculator'!$D$22,0)</f>
        <v>69425.85866924272</v>
      </c>
      <c r="D119" s="92">
        <f>IF(Table_1[[#This Row],[Column1]]&lt;='Buy Vs Rent Calculator'!$D$13*12,-PPMT('Buy Vs Rent Calculator'!$D$12/12,Table_1[[#This Row],[Column1]],'Buy Vs Rent Calculator'!$D$13*12,'Buy Vs Rent Calculator'!$D$21),0)</f>
        <v>28528.554304356927</v>
      </c>
      <c r="E119" s="92">
        <f>IF(Table_1[[#This Row],[Column1]]&lt;='Buy Vs Rent Calculator'!$D$13*12,-IPMT('Buy Vs Rent Calculator'!$D$12/12,Table_1[[#This Row],[Column1]],'Buy Vs Rent Calculator'!$D$13*12,'Buy Vs Rent Calculator'!$D$21),0)</f>
        <v>40897.304364885793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2:16" ht="14.25" customHeight="1" x14ac:dyDescent="0.2">
      <c r="B120" s="91">
        <v>116</v>
      </c>
      <c r="C120" s="92">
        <f>IF(Table_1[[#This Row],[Column1]]&lt;='Buy Vs Rent Calculator'!$D$13*12,'Buy Vs Rent Calculator'!$D$22,0)</f>
        <v>69425.85866924272</v>
      </c>
      <c r="D120" s="92">
        <f>IF(Table_1[[#This Row],[Column1]]&lt;='Buy Vs Rent Calculator'!$D$13*12,-PPMT('Buy Vs Rent Calculator'!$D$12/12,Table_1[[#This Row],[Column1]],'Buy Vs Rent Calculator'!$D$13*12,'Buy Vs Rent Calculator'!$D$21),0)</f>
        <v>28730.63156401279</v>
      </c>
      <c r="E120" s="92">
        <f>IF(Table_1[[#This Row],[Column1]]&lt;='Buy Vs Rent Calculator'!$D$13*12,-IPMT('Buy Vs Rent Calculator'!$D$12/12,Table_1[[#This Row],[Column1]],'Buy Vs Rent Calculator'!$D$13*12,'Buy Vs Rent Calculator'!$D$21),0)</f>
        <v>40695.227105229926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2:16" ht="14.25" customHeight="1" x14ac:dyDescent="0.2">
      <c r="B121" s="91">
        <v>117</v>
      </c>
      <c r="C121" s="92">
        <f>IF(Table_1[[#This Row],[Column1]]&lt;='Buy Vs Rent Calculator'!$D$13*12,'Buy Vs Rent Calculator'!$D$22,0)</f>
        <v>69425.85866924272</v>
      </c>
      <c r="D121" s="92">
        <f>IF(Table_1[[#This Row],[Column1]]&lt;='Buy Vs Rent Calculator'!$D$13*12,-PPMT('Buy Vs Rent Calculator'!$D$12/12,Table_1[[#This Row],[Column1]],'Buy Vs Rent Calculator'!$D$13*12,'Buy Vs Rent Calculator'!$D$21),0)</f>
        <v>28934.140204257881</v>
      </c>
      <c r="E121" s="92">
        <f>IF(Table_1[[#This Row],[Column1]]&lt;='Buy Vs Rent Calculator'!$D$13*12,-IPMT('Buy Vs Rent Calculator'!$D$12/12,Table_1[[#This Row],[Column1]],'Buy Vs Rent Calculator'!$D$13*12,'Buy Vs Rent Calculator'!$D$21),0)</f>
        <v>40491.718464984842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2:16" ht="14.25" customHeight="1" x14ac:dyDescent="0.2">
      <c r="B122" s="91">
        <v>118</v>
      </c>
      <c r="C122" s="92">
        <f>IF(Table_1[[#This Row],[Column1]]&lt;='Buy Vs Rent Calculator'!$D$13*12,'Buy Vs Rent Calculator'!$D$22,0)</f>
        <v>69425.85866924272</v>
      </c>
      <c r="D122" s="92">
        <f>IF(Table_1[[#This Row],[Column1]]&lt;='Buy Vs Rent Calculator'!$D$13*12,-PPMT('Buy Vs Rent Calculator'!$D$12/12,Table_1[[#This Row],[Column1]],'Buy Vs Rent Calculator'!$D$13*12,'Buy Vs Rent Calculator'!$D$21),0)</f>
        <v>29139.090364038042</v>
      </c>
      <c r="E122" s="92">
        <f>IF(Table_1[[#This Row],[Column1]]&lt;='Buy Vs Rent Calculator'!$D$13*12,-IPMT('Buy Vs Rent Calculator'!$D$12/12,Table_1[[#This Row],[Column1]],'Buy Vs Rent Calculator'!$D$13*12,'Buy Vs Rent Calculator'!$D$21),0)</f>
        <v>40286.768305204685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2:16" ht="14.25" customHeight="1" x14ac:dyDescent="0.2">
      <c r="B123" s="91">
        <v>119</v>
      </c>
      <c r="C123" s="92">
        <f>IF(Table_1[[#This Row],[Column1]]&lt;='Buy Vs Rent Calculator'!$D$13*12,'Buy Vs Rent Calculator'!$D$22,0)</f>
        <v>69425.85866924272</v>
      </c>
      <c r="D123" s="92">
        <f>IF(Table_1[[#This Row],[Column1]]&lt;='Buy Vs Rent Calculator'!$D$13*12,-PPMT('Buy Vs Rent Calculator'!$D$12/12,Table_1[[#This Row],[Column1]],'Buy Vs Rent Calculator'!$D$13*12,'Buy Vs Rent Calculator'!$D$21),0)</f>
        <v>29345.492254116638</v>
      </c>
      <c r="E123" s="92">
        <f>IF(Table_1[[#This Row],[Column1]]&lt;='Buy Vs Rent Calculator'!$D$13*12,-IPMT('Buy Vs Rent Calculator'!$D$12/12,Table_1[[#This Row],[Column1]],'Buy Vs Rent Calculator'!$D$13*12,'Buy Vs Rent Calculator'!$D$21),0)</f>
        <v>40080.366415126075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2:16" ht="14.25" customHeight="1" x14ac:dyDescent="0.2">
      <c r="B124" s="91">
        <v>120</v>
      </c>
      <c r="C124" s="92">
        <f>IF(Table_1[[#This Row],[Column1]]&lt;='Buy Vs Rent Calculator'!$D$13*12,'Buy Vs Rent Calculator'!$D$22,0)</f>
        <v>69425.85866924272</v>
      </c>
      <c r="D124" s="92">
        <f>IF(Table_1[[#This Row],[Column1]]&lt;='Buy Vs Rent Calculator'!$D$13*12,-PPMT('Buy Vs Rent Calculator'!$D$12/12,Table_1[[#This Row],[Column1]],'Buy Vs Rent Calculator'!$D$13*12,'Buy Vs Rent Calculator'!$D$21),0)</f>
        <v>29553.356157583297</v>
      </c>
      <c r="E124" s="92">
        <f>IF(Table_1[[#This Row],[Column1]]&lt;='Buy Vs Rent Calculator'!$D$13*12,-IPMT('Buy Vs Rent Calculator'!$D$12/12,Table_1[[#This Row],[Column1]],'Buy Vs Rent Calculator'!$D$13*12,'Buy Vs Rent Calculator'!$D$21),0)</f>
        <v>39872.502511659419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2:16" ht="14.25" customHeight="1" x14ac:dyDescent="0.2">
      <c r="B125" s="91">
        <v>121</v>
      </c>
      <c r="C125" s="92">
        <f>IF(Table_1[[#This Row],[Column1]]&lt;='Buy Vs Rent Calculator'!$D$13*12,'Buy Vs Rent Calculator'!$D$22,0)</f>
        <v>69425.85866924272</v>
      </c>
      <c r="D125" s="92">
        <f>IF(Table_1[[#This Row],[Column1]]&lt;='Buy Vs Rent Calculator'!$D$13*12,-PPMT('Buy Vs Rent Calculator'!$D$12/12,Table_1[[#This Row],[Column1]],'Buy Vs Rent Calculator'!$D$13*12,'Buy Vs Rent Calculator'!$D$21),0)</f>
        <v>29762.692430366184</v>
      </c>
      <c r="E125" s="92">
        <f>IF(Table_1[[#This Row],[Column1]]&lt;='Buy Vs Rent Calculator'!$D$13*12,-IPMT('Buy Vs Rent Calculator'!$D$12/12,Table_1[[#This Row],[Column1]],'Buy Vs Rent Calculator'!$D$13*12,'Buy Vs Rent Calculator'!$D$21),0)</f>
        <v>39663.16623887654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2:16" ht="14.25" customHeight="1" x14ac:dyDescent="0.2">
      <c r="B126" s="91">
        <v>122</v>
      </c>
      <c r="C126" s="92">
        <f>IF(Table_1[[#This Row],[Column1]]&lt;='Buy Vs Rent Calculator'!$D$13*12,'Buy Vs Rent Calculator'!$D$22,0)</f>
        <v>69425.85866924272</v>
      </c>
      <c r="D126" s="92">
        <f>IF(Table_1[[#This Row],[Column1]]&lt;='Buy Vs Rent Calculator'!$D$13*12,-PPMT('Buy Vs Rent Calculator'!$D$12/12,Table_1[[#This Row],[Column1]],'Buy Vs Rent Calculator'!$D$13*12,'Buy Vs Rent Calculator'!$D$21),0)</f>
        <v>29973.511501747947</v>
      </c>
      <c r="E126" s="92">
        <f>IF(Table_1[[#This Row],[Column1]]&lt;='Buy Vs Rent Calculator'!$D$13*12,-IPMT('Buy Vs Rent Calculator'!$D$12/12,Table_1[[#This Row],[Column1]],'Buy Vs Rent Calculator'!$D$13*12,'Buy Vs Rent Calculator'!$D$21),0)</f>
        <v>39452.347167494772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2:16" ht="14.25" customHeight="1" x14ac:dyDescent="0.2">
      <c r="B127" s="91">
        <v>123</v>
      </c>
      <c r="C127" s="92">
        <f>IF(Table_1[[#This Row],[Column1]]&lt;='Buy Vs Rent Calculator'!$D$13*12,'Buy Vs Rent Calculator'!$D$22,0)</f>
        <v>69425.85866924272</v>
      </c>
      <c r="D127" s="92">
        <f>IF(Table_1[[#This Row],[Column1]]&lt;='Buy Vs Rent Calculator'!$D$13*12,-PPMT('Buy Vs Rent Calculator'!$D$12/12,Table_1[[#This Row],[Column1]],'Buy Vs Rent Calculator'!$D$13*12,'Buy Vs Rent Calculator'!$D$21),0)</f>
        <v>30185.823874885322</v>
      </c>
      <c r="E127" s="92">
        <f>IF(Table_1[[#This Row],[Column1]]&lt;='Buy Vs Rent Calculator'!$D$13*12,-IPMT('Buy Vs Rent Calculator'!$D$12/12,Table_1[[#This Row],[Column1]],'Buy Vs Rent Calculator'!$D$13*12,'Buy Vs Rent Calculator'!$D$21),0)</f>
        <v>39240.034794357394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2:16" ht="14.25" customHeight="1" x14ac:dyDescent="0.2">
      <c r="B128" s="91">
        <v>124</v>
      </c>
      <c r="C128" s="92">
        <f>IF(Table_1[[#This Row],[Column1]]&lt;='Buy Vs Rent Calculator'!$D$13*12,'Buy Vs Rent Calculator'!$D$22,0)</f>
        <v>69425.85866924272</v>
      </c>
      <c r="D128" s="92">
        <f>IF(Table_1[[#This Row],[Column1]]&lt;='Buy Vs Rent Calculator'!$D$13*12,-PPMT('Buy Vs Rent Calculator'!$D$12/12,Table_1[[#This Row],[Column1]],'Buy Vs Rent Calculator'!$D$13*12,'Buy Vs Rent Calculator'!$D$21),0)</f>
        <v>30399.640127332426</v>
      </c>
      <c r="E128" s="92">
        <f>IF(Table_1[[#This Row],[Column1]]&lt;='Buy Vs Rent Calculator'!$D$13*12,-IPMT('Buy Vs Rent Calculator'!$D$12/12,Table_1[[#This Row],[Column1]],'Buy Vs Rent Calculator'!$D$13*12,'Buy Vs Rent Calculator'!$D$21),0)</f>
        <v>39026.21854191029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2:16" ht="14.25" customHeight="1" x14ac:dyDescent="0.2">
      <c r="B129" s="91">
        <v>125</v>
      </c>
      <c r="C129" s="92">
        <f>IF(Table_1[[#This Row],[Column1]]&lt;='Buy Vs Rent Calculator'!$D$13*12,'Buy Vs Rent Calculator'!$D$22,0)</f>
        <v>69425.85866924272</v>
      </c>
      <c r="D129" s="92">
        <f>IF(Table_1[[#This Row],[Column1]]&lt;='Buy Vs Rent Calculator'!$D$13*12,-PPMT('Buy Vs Rent Calculator'!$D$12/12,Table_1[[#This Row],[Column1]],'Buy Vs Rent Calculator'!$D$13*12,'Buy Vs Rent Calculator'!$D$21),0)</f>
        <v>30614.9709115677</v>
      </c>
      <c r="E129" s="92">
        <f>IF(Table_1[[#This Row],[Column1]]&lt;='Buy Vs Rent Calculator'!$D$13*12,-IPMT('Buy Vs Rent Calculator'!$D$12/12,Table_1[[#This Row],[Column1]],'Buy Vs Rent Calculator'!$D$13*12,'Buy Vs Rent Calculator'!$D$21),0)</f>
        <v>38810.887757675024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2:16" ht="14.25" customHeight="1" x14ac:dyDescent="0.2">
      <c r="B130" s="91">
        <v>126</v>
      </c>
      <c r="C130" s="92">
        <f>IF(Table_1[[#This Row],[Column1]]&lt;='Buy Vs Rent Calculator'!$D$13*12,'Buy Vs Rent Calculator'!$D$22,0)</f>
        <v>69425.85866924272</v>
      </c>
      <c r="D130" s="92">
        <f>IF(Table_1[[#This Row],[Column1]]&lt;='Buy Vs Rent Calculator'!$D$13*12,-PPMT('Buy Vs Rent Calculator'!$D$12/12,Table_1[[#This Row],[Column1]],'Buy Vs Rent Calculator'!$D$13*12,'Buy Vs Rent Calculator'!$D$21),0)</f>
        <v>30831.826955524641</v>
      </c>
      <c r="E130" s="92">
        <f>IF(Table_1[[#This Row],[Column1]]&lt;='Buy Vs Rent Calculator'!$D$13*12,-IPMT('Buy Vs Rent Calculator'!$D$12/12,Table_1[[#This Row],[Column1]],'Buy Vs Rent Calculator'!$D$13*12,'Buy Vs Rent Calculator'!$D$21),0)</f>
        <v>38594.031713718075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2:16" ht="14.25" customHeight="1" x14ac:dyDescent="0.2">
      <c r="B131" s="91">
        <v>127</v>
      </c>
      <c r="C131" s="92">
        <f>IF(Table_1[[#This Row],[Column1]]&lt;='Buy Vs Rent Calculator'!$D$13*12,'Buy Vs Rent Calculator'!$D$22,0)</f>
        <v>69425.85866924272</v>
      </c>
      <c r="D131" s="92">
        <f>IF(Table_1[[#This Row],[Column1]]&lt;='Buy Vs Rent Calculator'!$D$13*12,-PPMT('Buy Vs Rent Calculator'!$D$12/12,Table_1[[#This Row],[Column1]],'Buy Vs Rent Calculator'!$D$13*12,'Buy Vs Rent Calculator'!$D$21),0)</f>
        <v>31050.219063126271</v>
      </c>
      <c r="E131" s="92">
        <f>IF(Table_1[[#This Row],[Column1]]&lt;='Buy Vs Rent Calculator'!$D$13*12,-IPMT('Buy Vs Rent Calculator'!$D$12/12,Table_1[[#This Row],[Column1]],'Buy Vs Rent Calculator'!$D$13*12,'Buy Vs Rent Calculator'!$D$21),0)</f>
        <v>38375.639606116441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2:16" ht="14.25" customHeight="1" x14ac:dyDescent="0.2">
      <c r="B132" s="91">
        <v>128</v>
      </c>
      <c r="C132" s="92">
        <f>IF(Table_1[[#This Row],[Column1]]&lt;='Buy Vs Rent Calculator'!$D$13*12,'Buy Vs Rent Calculator'!$D$22,0)</f>
        <v>69425.85866924272</v>
      </c>
      <c r="D132" s="92">
        <f>IF(Table_1[[#This Row],[Column1]]&lt;='Buy Vs Rent Calculator'!$D$13*12,-PPMT('Buy Vs Rent Calculator'!$D$12/12,Table_1[[#This Row],[Column1]],'Buy Vs Rent Calculator'!$D$13*12,'Buy Vs Rent Calculator'!$D$21),0)</f>
        <v>31270.158114823418</v>
      </c>
      <c r="E132" s="92">
        <f>IF(Table_1[[#This Row],[Column1]]&lt;='Buy Vs Rent Calculator'!$D$13*12,-IPMT('Buy Vs Rent Calculator'!$D$12/12,Table_1[[#This Row],[Column1]],'Buy Vs Rent Calculator'!$D$13*12,'Buy Vs Rent Calculator'!$D$21),0)</f>
        <v>38155.700554419309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2:16" ht="14.25" customHeight="1" x14ac:dyDescent="0.2">
      <c r="B133" s="91">
        <v>129</v>
      </c>
      <c r="C133" s="92">
        <f>IF(Table_1[[#This Row],[Column1]]&lt;='Buy Vs Rent Calculator'!$D$13*12,'Buy Vs Rent Calculator'!$D$22,0)</f>
        <v>69425.85866924272</v>
      </c>
      <c r="D133" s="92">
        <f>IF(Table_1[[#This Row],[Column1]]&lt;='Buy Vs Rent Calculator'!$D$13*12,-PPMT('Buy Vs Rent Calculator'!$D$12/12,Table_1[[#This Row],[Column1]],'Buy Vs Rent Calculator'!$D$13*12,'Buy Vs Rent Calculator'!$D$21),0)</f>
        <v>31491.655068136752</v>
      </c>
      <c r="E133" s="92">
        <f>IF(Table_1[[#This Row],[Column1]]&lt;='Buy Vs Rent Calculator'!$D$13*12,-IPMT('Buy Vs Rent Calculator'!$D$12/12,Table_1[[#This Row],[Column1]],'Buy Vs Rent Calculator'!$D$13*12,'Buy Vs Rent Calculator'!$D$21),0)</f>
        <v>37934.203601105968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2:16" ht="14.25" customHeight="1" x14ac:dyDescent="0.2">
      <c r="B134" s="91">
        <v>130</v>
      </c>
      <c r="C134" s="92">
        <f>IF(Table_1[[#This Row],[Column1]]&lt;='Buy Vs Rent Calculator'!$D$13*12,'Buy Vs Rent Calculator'!$D$22,0)</f>
        <v>69425.85866924272</v>
      </c>
      <c r="D134" s="92">
        <f>IF(Table_1[[#This Row],[Column1]]&lt;='Buy Vs Rent Calculator'!$D$13*12,-PPMT('Buy Vs Rent Calculator'!$D$12/12,Table_1[[#This Row],[Column1]],'Buy Vs Rent Calculator'!$D$13*12,'Buy Vs Rent Calculator'!$D$21),0)</f>
        <v>31714.720958202714</v>
      </c>
      <c r="E134" s="92">
        <f>IF(Table_1[[#This Row],[Column1]]&lt;='Buy Vs Rent Calculator'!$D$13*12,-IPMT('Buy Vs Rent Calculator'!$D$12/12,Table_1[[#This Row],[Column1]],'Buy Vs Rent Calculator'!$D$13*12,'Buy Vs Rent Calculator'!$D$21),0)</f>
        <v>37711.137711039999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2:16" ht="14.25" customHeight="1" x14ac:dyDescent="0.2">
      <c r="B135" s="91">
        <v>131</v>
      </c>
      <c r="C135" s="92">
        <f>IF(Table_1[[#This Row],[Column1]]&lt;='Buy Vs Rent Calculator'!$D$13*12,'Buy Vs Rent Calculator'!$D$22,0)</f>
        <v>69425.85866924272</v>
      </c>
      <c r="D135" s="92">
        <f>IF(Table_1[[#This Row],[Column1]]&lt;='Buy Vs Rent Calculator'!$D$13*12,-PPMT('Buy Vs Rent Calculator'!$D$12/12,Table_1[[#This Row],[Column1]],'Buy Vs Rent Calculator'!$D$13*12,'Buy Vs Rent Calculator'!$D$21),0)</f>
        <v>31939.366898323326</v>
      </c>
      <c r="E135" s="92">
        <f>IF(Table_1[[#This Row],[Column1]]&lt;='Buy Vs Rent Calculator'!$D$13*12,-IPMT('Buy Vs Rent Calculator'!$D$12/12,Table_1[[#This Row],[Column1]],'Buy Vs Rent Calculator'!$D$13*12,'Buy Vs Rent Calculator'!$D$21),0)</f>
        <v>37486.491770919398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2:16" ht="14.25" customHeight="1" x14ac:dyDescent="0.2">
      <c r="B136" s="91">
        <v>132</v>
      </c>
      <c r="C136" s="92">
        <f>IF(Table_1[[#This Row],[Column1]]&lt;='Buy Vs Rent Calculator'!$D$13*12,'Buy Vs Rent Calculator'!$D$22,0)</f>
        <v>69425.85866924272</v>
      </c>
      <c r="D136" s="92">
        <f>IF(Table_1[[#This Row],[Column1]]&lt;='Buy Vs Rent Calculator'!$D$13*12,-PPMT('Buy Vs Rent Calculator'!$D$12/12,Table_1[[#This Row],[Column1]],'Buy Vs Rent Calculator'!$D$13*12,'Buy Vs Rent Calculator'!$D$21),0)</f>
        <v>32165.604080519777</v>
      </c>
      <c r="E136" s="92">
        <f>IF(Table_1[[#This Row],[Column1]]&lt;='Buy Vs Rent Calculator'!$D$13*12,-IPMT('Buy Vs Rent Calculator'!$D$12/12,Table_1[[#This Row],[Column1]],'Buy Vs Rent Calculator'!$D$13*12,'Buy Vs Rent Calculator'!$D$21),0)</f>
        <v>37260.254588722943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2:16" ht="14.25" customHeight="1" x14ac:dyDescent="0.2">
      <c r="B137" s="91">
        <v>133</v>
      </c>
      <c r="C137" s="92">
        <f>IF(Table_1[[#This Row],[Column1]]&lt;='Buy Vs Rent Calculator'!$D$13*12,'Buy Vs Rent Calculator'!$D$22,0)</f>
        <v>69425.85866924272</v>
      </c>
      <c r="D137" s="92">
        <f>IF(Table_1[[#This Row],[Column1]]&lt;='Buy Vs Rent Calculator'!$D$13*12,-PPMT('Buy Vs Rent Calculator'!$D$12/12,Table_1[[#This Row],[Column1]],'Buy Vs Rent Calculator'!$D$13*12,'Buy Vs Rent Calculator'!$D$21),0)</f>
        <v>32393.443776090124</v>
      </c>
      <c r="E137" s="92">
        <f>IF(Table_1[[#This Row],[Column1]]&lt;='Buy Vs Rent Calculator'!$D$13*12,-IPMT('Buy Vs Rent Calculator'!$D$12/12,Table_1[[#This Row],[Column1]],'Buy Vs Rent Calculator'!$D$13*12,'Buy Vs Rent Calculator'!$D$21),0)</f>
        <v>37032.4148931526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2:16" ht="14.25" customHeight="1" x14ac:dyDescent="0.2">
      <c r="B138" s="91">
        <v>134</v>
      </c>
      <c r="C138" s="92">
        <f>IF(Table_1[[#This Row],[Column1]]&lt;='Buy Vs Rent Calculator'!$D$13*12,'Buy Vs Rent Calculator'!$D$22,0)</f>
        <v>69425.85866924272</v>
      </c>
      <c r="D138" s="92">
        <f>IF(Table_1[[#This Row],[Column1]]&lt;='Buy Vs Rent Calculator'!$D$13*12,-PPMT('Buy Vs Rent Calculator'!$D$12/12,Table_1[[#This Row],[Column1]],'Buy Vs Rent Calculator'!$D$13*12,'Buy Vs Rent Calculator'!$D$21),0)</f>
        <v>32622.897336170765</v>
      </c>
      <c r="E138" s="92">
        <f>IF(Table_1[[#This Row],[Column1]]&lt;='Buy Vs Rent Calculator'!$D$13*12,-IPMT('Buy Vs Rent Calculator'!$D$12/12,Table_1[[#This Row],[Column1]],'Buy Vs Rent Calculator'!$D$13*12,'Buy Vs Rent Calculator'!$D$21),0)</f>
        <v>36802.961333071951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2:16" ht="14.25" customHeight="1" x14ac:dyDescent="0.2">
      <c r="B139" s="91">
        <v>135</v>
      </c>
      <c r="C139" s="92">
        <f>IF(Table_1[[#This Row],[Column1]]&lt;='Buy Vs Rent Calculator'!$D$13*12,'Buy Vs Rent Calculator'!$D$22,0)</f>
        <v>69425.85866924272</v>
      </c>
      <c r="D139" s="92">
        <f>IF(Table_1[[#This Row],[Column1]]&lt;='Buy Vs Rent Calculator'!$D$13*12,-PPMT('Buy Vs Rent Calculator'!$D$12/12,Table_1[[#This Row],[Column1]],'Buy Vs Rent Calculator'!$D$13*12,'Buy Vs Rent Calculator'!$D$21),0)</f>
        <v>32853.976192301969</v>
      </c>
      <c r="E139" s="92">
        <f>IF(Table_1[[#This Row],[Column1]]&lt;='Buy Vs Rent Calculator'!$D$13*12,-IPMT('Buy Vs Rent Calculator'!$D$12/12,Table_1[[#This Row],[Column1]],'Buy Vs Rent Calculator'!$D$13*12,'Buy Vs Rent Calculator'!$D$21),0)</f>
        <v>36571.882476940751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2:16" ht="14.25" customHeight="1" x14ac:dyDescent="0.2">
      <c r="B140" s="91">
        <v>136</v>
      </c>
      <c r="C140" s="92">
        <f>IF(Table_1[[#This Row],[Column1]]&lt;='Buy Vs Rent Calculator'!$D$13*12,'Buy Vs Rent Calculator'!$D$22,0)</f>
        <v>69425.85866924272</v>
      </c>
      <c r="D140" s="92">
        <f>IF(Table_1[[#This Row],[Column1]]&lt;='Buy Vs Rent Calculator'!$D$13*12,-PPMT('Buy Vs Rent Calculator'!$D$12/12,Table_1[[#This Row],[Column1]],'Buy Vs Rent Calculator'!$D$13*12,'Buy Vs Rent Calculator'!$D$21),0)</f>
        <v>33086.691856997444</v>
      </c>
      <c r="E140" s="92">
        <f>IF(Table_1[[#This Row],[Column1]]&lt;='Buy Vs Rent Calculator'!$D$13*12,-IPMT('Buy Vs Rent Calculator'!$D$12/12,Table_1[[#This Row],[Column1]],'Buy Vs Rent Calculator'!$D$13*12,'Buy Vs Rent Calculator'!$D$21),0)</f>
        <v>36339.166812245276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2:16" ht="14.25" customHeight="1" x14ac:dyDescent="0.2">
      <c r="B141" s="91">
        <v>137</v>
      </c>
      <c r="C141" s="92">
        <f>IF(Table_1[[#This Row],[Column1]]&lt;='Buy Vs Rent Calculator'!$D$13*12,'Buy Vs Rent Calculator'!$D$22,0)</f>
        <v>69425.85866924272</v>
      </c>
      <c r="D141" s="92">
        <f>IF(Table_1[[#This Row],[Column1]]&lt;='Buy Vs Rent Calculator'!$D$13*12,-PPMT('Buy Vs Rent Calculator'!$D$12/12,Table_1[[#This Row],[Column1]],'Buy Vs Rent Calculator'!$D$13*12,'Buy Vs Rent Calculator'!$D$21),0)</f>
        <v>33321.055924317843</v>
      </c>
      <c r="E141" s="92">
        <f>IF(Table_1[[#This Row],[Column1]]&lt;='Buy Vs Rent Calculator'!$D$13*12,-IPMT('Buy Vs Rent Calculator'!$D$12/12,Table_1[[#This Row],[Column1]],'Buy Vs Rent Calculator'!$D$13*12,'Buy Vs Rent Calculator'!$D$21),0)</f>
        <v>36104.802744924877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2:16" ht="14.25" customHeight="1" x14ac:dyDescent="0.2">
      <c r="B142" s="91">
        <v>138</v>
      </c>
      <c r="C142" s="92">
        <f>IF(Table_1[[#This Row],[Column1]]&lt;='Buy Vs Rent Calculator'!$D$13*12,'Buy Vs Rent Calculator'!$D$22,0)</f>
        <v>69425.85866924272</v>
      </c>
      <c r="D142" s="92">
        <f>IF(Table_1[[#This Row],[Column1]]&lt;='Buy Vs Rent Calculator'!$D$13*12,-PPMT('Buy Vs Rent Calculator'!$D$12/12,Table_1[[#This Row],[Column1]],'Buy Vs Rent Calculator'!$D$13*12,'Buy Vs Rent Calculator'!$D$21),0)</f>
        <v>33557.080070448428</v>
      </c>
      <c r="E142" s="92">
        <f>IF(Table_1[[#This Row],[Column1]]&lt;='Buy Vs Rent Calculator'!$D$13*12,-IPMT('Buy Vs Rent Calculator'!$D$12/12,Table_1[[#This Row],[Column1]],'Buy Vs Rent Calculator'!$D$13*12,'Buy Vs Rent Calculator'!$D$21),0)</f>
        <v>35868.778598794299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2:16" ht="14.25" customHeight="1" x14ac:dyDescent="0.2">
      <c r="B143" s="91">
        <v>139</v>
      </c>
      <c r="C143" s="92">
        <f>IF(Table_1[[#This Row],[Column1]]&lt;='Buy Vs Rent Calculator'!$D$13*12,'Buy Vs Rent Calculator'!$D$22,0)</f>
        <v>69425.85866924272</v>
      </c>
      <c r="D143" s="92">
        <f>IF(Table_1[[#This Row],[Column1]]&lt;='Buy Vs Rent Calculator'!$D$13*12,-PPMT('Buy Vs Rent Calculator'!$D$12/12,Table_1[[#This Row],[Column1]],'Buy Vs Rent Calculator'!$D$13*12,'Buy Vs Rent Calculator'!$D$21),0)</f>
        <v>33794.776054280774</v>
      </c>
      <c r="E143" s="92">
        <f>IF(Table_1[[#This Row],[Column1]]&lt;='Buy Vs Rent Calculator'!$D$13*12,-IPMT('Buy Vs Rent Calculator'!$D$12/12,Table_1[[#This Row],[Column1]],'Buy Vs Rent Calculator'!$D$13*12,'Buy Vs Rent Calculator'!$D$21),0)</f>
        <v>35631.082614961953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2:16" ht="14.25" customHeight="1" x14ac:dyDescent="0.2">
      <c r="B144" s="91">
        <v>140</v>
      </c>
      <c r="C144" s="92">
        <f>IF(Table_1[[#This Row],[Column1]]&lt;='Buy Vs Rent Calculator'!$D$13*12,'Buy Vs Rent Calculator'!$D$22,0)</f>
        <v>69425.85866924272</v>
      </c>
      <c r="D144" s="92">
        <f>IF(Table_1[[#This Row],[Column1]]&lt;='Buy Vs Rent Calculator'!$D$13*12,-PPMT('Buy Vs Rent Calculator'!$D$12/12,Table_1[[#This Row],[Column1]],'Buy Vs Rent Calculator'!$D$13*12,'Buy Vs Rent Calculator'!$D$21),0)</f>
        <v>34034.15571799859</v>
      </c>
      <c r="E144" s="92">
        <f>IF(Table_1[[#This Row],[Column1]]&lt;='Buy Vs Rent Calculator'!$D$13*12,-IPMT('Buy Vs Rent Calculator'!$D$12/12,Table_1[[#This Row],[Column1]],'Buy Vs Rent Calculator'!$D$13*12,'Buy Vs Rent Calculator'!$D$21),0)</f>
        <v>35391.70295124413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2:16" ht="14.25" customHeight="1" x14ac:dyDescent="0.2">
      <c r="B145" s="91">
        <v>141</v>
      </c>
      <c r="C145" s="92">
        <f>IF(Table_1[[#This Row],[Column1]]&lt;='Buy Vs Rent Calculator'!$D$13*12,'Buy Vs Rent Calculator'!$D$22,0)</f>
        <v>69425.85866924272</v>
      </c>
      <c r="D145" s="92">
        <f>IF(Table_1[[#This Row],[Column1]]&lt;='Buy Vs Rent Calculator'!$D$13*12,-PPMT('Buy Vs Rent Calculator'!$D$12/12,Table_1[[#This Row],[Column1]],'Buy Vs Rent Calculator'!$D$13*12,'Buy Vs Rent Calculator'!$D$21),0)</f>
        <v>34275.230987667754</v>
      </c>
      <c r="E145" s="92">
        <f>IF(Table_1[[#This Row],[Column1]]&lt;='Buy Vs Rent Calculator'!$D$13*12,-IPMT('Buy Vs Rent Calculator'!$D$12/12,Table_1[[#This Row],[Column1]],'Buy Vs Rent Calculator'!$D$13*12,'Buy Vs Rent Calculator'!$D$21),0)</f>
        <v>35150.627681574973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2:16" ht="14.25" customHeight="1" x14ac:dyDescent="0.2">
      <c r="B146" s="91">
        <v>142</v>
      </c>
      <c r="C146" s="92">
        <f>IF(Table_1[[#This Row],[Column1]]&lt;='Buy Vs Rent Calculator'!$D$13*12,'Buy Vs Rent Calculator'!$D$22,0)</f>
        <v>69425.85866924272</v>
      </c>
      <c r="D146" s="92">
        <f>IF(Table_1[[#This Row],[Column1]]&lt;='Buy Vs Rent Calculator'!$D$13*12,-PPMT('Buy Vs Rent Calculator'!$D$12/12,Table_1[[#This Row],[Column1]],'Buy Vs Rent Calculator'!$D$13*12,'Buy Vs Rent Calculator'!$D$21),0)</f>
        <v>34518.013873830401</v>
      </c>
      <c r="E146" s="92">
        <f>IF(Table_1[[#This Row],[Column1]]&lt;='Buy Vs Rent Calculator'!$D$13*12,-IPMT('Buy Vs Rent Calculator'!$D$12/12,Table_1[[#This Row],[Column1]],'Buy Vs Rent Calculator'!$D$13*12,'Buy Vs Rent Calculator'!$D$21),0)</f>
        <v>34907.844795412318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2:16" ht="14.25" customHeight="1" x14ac:dyDescent="0.2">
      <c r="B147" s="91">
        <v>143</v>
      </c>
      <c r="C147" s="92">
        <f>IF(Table_1[[#This Row],[Column1]]&lt;='Buy Vs Rent Calculator'!$D$13*12,'Buy Vs Rent Calculator'!$D$22,0)</f>
        <v>69425.85866924272</v>
      </c>
      <c r="D147" s="92">
        <f>IF(Table_1[[#This Row],[Column1]]&lt;='Buy Vs Rent Calculator'!$D$13*12,-PPMT('Buy Vs Rent Calculator'!$D$12/12,Table_1[[#This Row],[Column1]],'Buy Vs Rent Calculator'!$D$13*12,'Buy Vs Rent Calculator'!$D$21),0)</f>
        <v>34762.516472103365</v>
      </c>
      <c r="E147" s="92">
        <f>IF(Table_1[[#This Row],[Column1]]&lt;='Buy Vs Rent Calculator'!$D$13*12,-IPMT('Buy Vs Rent Calculator'!$D$12/12,Table_1[[#This Row],[Column1]],'Buy Vs Rent Calculator'!$D$13*12,'Buy Vs Rent Calculator'!$D$21),0)</f>
        <v>34663.342197139355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2:16" ht="14.25" customHeight="1" x14ac:dyDescent="0.2">
      <c r="B148" s="91">
        <v>144</v>
      </c>
      <c r="C148" s="92">
        <f>IF(Table_1[[#This Row],[Column1]]&lt;='Buy Vs Rent Calculator'!$D$13*12,'Buy Vs Rent Calculator'!$D$22,0)</f>
        <v>69425.85866924272</v>
      </c>
      <c r="D148" s="92">
        <f>IF(Table_1[[#This Row],[Column1]]&lt;='Buy Vs Rent Calculator'!$D$13*12,-PPMT('Buy Vs Rent Calculator'!$D$12/12,Table_1[[#This Row],[Column1]],'Buy Vs Rent Calculator'!$D$13*12,'Buy Vs Rent Calculator'!$D$21),0)</f>
        <v>35008.75096378076</v>
      </c>
      <c r="E148" s="92">
        <f>IF(Table_1[[#This Row],[Column1]]&lt;='Buy Vs Rent Calculator'!$D$13*12,-IPMT('Buy Vs Rent Calculator'!$D$12/12,Table_1[[#This Row],[Column1]],'Buy Vs Rent Calculator'!$D$13*12,'Buy Vs Rent Calculator'!$D$21),0)</f>
        <v>34417.10770546196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2:16" ht="14.25" customHeight="1" x14ac:dyDescent="0.2">
      <c r="B149" s="91">
        <v>145</v>
      </c>
      <c r="C149" s="92">
        <f>IF(Table_1[[#This Row],[Column1]]&lt;='Buy Vs Rent Calculator'!$D$13*12,'Buy Vs Rent Calculator'!$D$22,0)</f>
        <v>69425.85866924272</v>
      </c>
      <c r="D149" s="92">
        <f>IF(Table_1[[#This Row],[Column1]]&lt;='Buy Vs Rent Calculator'!$D$13*12,-PPMT('Buy Vs Rent Calculator'!$D$12/12,Table_1[[#This Row],[Column1]],'Buy Vs Rent Calculator'!$D$13*12,'Buy Vs Rent Calculator'!$D$21),0)</f>
        <v>35256.729616440876</v>
      </c>
      <c r="E149" s="92">
        <f>IF(Table_1[[#This Row],[Column1]]&lt;='Buy Vs Rent Calculator'!$D$13*12,-IPMT('Buy Vs Rent Calculator'!$D$12/12,Table_1[[#This Row],[Column1]],'Buy Vs Rent Calculator'!$D$13*12,'Buy Vs Rent Calculator'!$D$21),0)</f>
        <v>34169.129052801843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2:16" ht="14.25" customHeight="1" x14ac:dyDescent="0.2">
      <c r="B150" s="91">
        <v>146</v>
      </c>
      <c r="C150" s="92">
        <f>IF(Table_1[[#This Row],[Column1]]&lt;='Buy Vs Rent Calculator'!$D$13*12,'Buy Vs Rent Calculator'!$D$22,0)</f>
        <v>69425.85866924272</v>
      </c>
      <c r="D150" s="92">
        <f>IF(Table_1[[#This Row],[Column1]]&lt;='Buy Vs Rent Calculator'!$D$13*12,-PPMT('Buy Vs Rent Calculator'!$D$12/12,Table_1[[#This Row],[Column1]],'Buy Vs Rent Calculator'!$D$13*12,'Buy Vs Rent Calculator'!$D$21),0)</f>
        <v>35506.464784557327</v>
      </c>
      <c r="E150" s="92">
        <f>IF(Table_1[[#This Row],[Column1]]&lt;='Buy Vs Rent Calculator'!$D$13*12,-IPMT('Buy Vs Rent Calculator'!$D$12/12,Table_1[[#This Row],[Column1]],'Buy Vs Rent Calculator'!$D$13*12,'Buy Vs Rent Calculator'!$D$21),0)</f>
        <v>33919.393884685393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2:16" ht="14.25" customHeight="1" x14ac:dyDescent="0.2">
      <c r="B151" s="91">
        <v>147</v>
      </c>
      <c r="C151" s="92">
        <f>IF(Table_1[[#This Row],[Column1]]&lt;='Buy Vs Rent Calculator'!$D$13*12,'Buy Vs Rent Calculator'!$D$22,0)</f>
        <v>69425.85866924272</v>
      </c>
      <c r="D151" s="92">
        <f>IF(Table_1[[#This Row],[Column1]]&lt;='Buy Vs Rent Calculator'!$D$13*12,-PPMT('Buy Vs Rent Calculator'!$D$12/12,Table_1[[#This Row],[Column1]],'Buy Vs Rent Calculator'!$D$13*12,'Buy Vs Rent Calculator'!$D$21),0)</f>
        <v>35757.968910114614</v>
      </c>
      <c r="E151" s="92">
        <f>IF(Table_1[[#This Row],[Column1]]&lt;='Buy Vs Rent Calculator'!$D$13*12,-IPMT('Buy Vs Rent Calculator'!$D$12/12,Table_1[[#This Row],[Column1]],'Buy Vs Rent Calculator'!$D$13*12,'Buy Vs Rent Calculator'!$D$21),0)</f>
        <v>33667.889759128106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2:16" ht="14.25" customHeight="1" x14ac:dyDescent="0.2">
      <c r="B152" s="91">
        <v>148</v>
      </c>
      <c r="C152" s="92">
        <f>IF(Table_1[[#This Row],[Column1]]&lt;='Buy Vs Rent Calculator'!$D$13*12,'Buy Vs Rent Calculator'!$D$22,0)</f>
        <v>69425.85866924272</v>
      </c>
      <c r="D152" s="92">
        <f>IF(Table_1[[#This Row],[Column1]]&lt;='Buy Vs Rent Calculator'!$D$13*12,-PPMT('Buy Vs Rent Calculator'!$D$12/12,Table_1[[#This Row],[Column1]],'Buy Vs Rent Calculator'!$D$13*12,'Buy Vs Rent Calculator'!$D$21),0)</f>
        <v>36011.254523227923</v>
      </c>
      <c r="E152" s="92">
        <f>IF(Table_1[[#This Row],[Column1]]&lt;='Buy Vs Rent Calculator'!$D$13*12,-IPMT('Buy Vs Rent Calculator'!$D$12/12,Table_1[[#This Row],[Column1]],'Buy Vs Rent Calculator'!$D$13*12,'Buy Vs Rent Calculator'!$D$21),0)</f>
        <v>33414.60414601479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2:16" ht="14.25" customHeight="1" x14ac:dyDescent="0.2">
      <c r="B153" s="91">
        <v>149</v>
      </c>
      <c r="C153" s="92">
        <f>IF(Table_1[[#This Row],[Column1]]&lt;='Buy Vs Rent Calculator'!$D$13*12,'Buy Vs Rent Calculator'!$D$22,0)</f>
        <v>69425.85866924272</v>
      </c>
      <c r="D153" s="92">
        <f>IF(Table_1[[#This Row],[Column1]]&lt;='Buy Vs Rent Calculator'!$D$13*12,-PPMT('Buy Vs Rent Calculator'!$D$12/12,Table_1[[#This Row],[Column1]],'Buy Vs Rent Calculator'!$D$13*12,'Buy Vs Rent Calculator'!$D$21),0)</f>
        <v>36266.334242767458</v>
      </c>
      <c r="E153" s="92">
        <f>IF(Table_1[[#This Row],[Column1]]&lt;='Buy Vs Rent Calculator'!$D$13*12,-IPMT('Buy Vs Rent Calculator'!$D$12/12,Table_1[[#This Row],[Column1]],'Buy Vs Rent Calculator'!$D$13*12,'Buy Vs Rent Calculator'!$D$21),0)</f>
        <v>33159.524426475262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2:16" ht="14.25" customHeight="1" x14ac:dyDescent="0.2">
      <c r="B154" s="91">
        <v>150</v>
      </c>
      <c r="C154" s="92">
        <f>IF(Table_1[[#This Row],[Column1]]&lt;='Buy Vs Rent Calculator'!$D$13*12,'Buy Vs Rent Calculator'!$D$22,0)</f>
        <v>69425.85866924272</v>
      </c>
      <c r="D154" s="92">
        <f>IF(Table_1[[#This Row],[Column1]]&lt;='Buy Vs Rent Calculator'!$D$13*12,-PPMT('Buy Vs Rent Calculator'!$D$12/12,Table_1[[#This Row],[Column1]],'Buy Vs Rent Calculator'!$D$13*12,'Buy Vs Rent Calculator'!$D$21),0)</f>
        <v>36523.220776987058</v>
      </c>
      <c r="E154" s="92">
        <f>IF(Table_1[[#This Row],[Column1]]&lt;='Buy Vs Rent Calculator'!$D$13*12,-IPMT('Buy Vs Rent Calculator'!$D$12/12,Table_1[[#This Row],[Column1]],'Buy Vs Rent Calculator'!$D$13*12,'Buy Vs Rent Calculator'!$D$21),0)</f>
        <v>32902.637892255661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2:16" ht="14.25" customHeight="1" x14ac:dyDescent="0.2">
      <c r="B155" s="91">
        <v>151</v>
      </c>
      <c r="C155" s="92">
        <f>IF(Table_1[[#This Row],[Column1]]&lt;='Buy Vs Rent Calculator'!$D$13*12,'Buy Vs Rent Calculator'!$D$22,0)</f>
        <v>69425.85866924272</v>
      </c>
      <c r="D155" s="92">
        <f>IF(Table_1[[#This Row],[Column1]]&lt;='Buy Vs Rent Calculator'!$D$13*12,-PPMT('Buy Vs Rent Calculator'!$D$12/12,Table_1[[#This Row],[Column1]],'Buy Vs Rent Calculator'!$D$13*12,'Buy Vs Rent Calculator'!$D$21),0)</f>
        <v>36781.926924157378</v>
      </c>
      <c r="E155" s="92">
        <f>IF(Table_1[[#This Row],[Column1]]&lt;='Buy Vs Rent Calculator'!$D$13*12,-IPMT('Buy Vs Rent Calculator'!$D$12/12,Table_1[[#This Row],[Column1]],'Buy Vs Rent Calculator'!$D$13*12,'Buy Vs Rent Calculator'!$D$21),0)</f>
        <v>32643.931745085345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2:16" ht="14.25" customHeight="1" x14ac:dyDescent="0.2">
      <c r="B156" s="91">
        <v>152</v>
      </c>
      <c r="C156" s="92">
        <f>IF(Table_1[[#This Row],[Column1]]&lt;='Buy Vs Rent Calculator'!$D$13*12,'Buy Vs Rent Calculator'!$D$22,0)</f>
        <v>69425.85866924272</v>
      </c>
      <c r="D156" s="92">
        <f>IF(Table_1[[#This Row],[Column1]]&lt;='Buy Vs Rent Calculator'!$D$13*12,-PPMT('Buy Vs Rent Calculator'!$D$12/12,Table_1[[#This Row],[Column1]],'Buy Vs Rent Calculator'!$D$13*12,'Buy Vs Rent Calculator'!$D$21),0)</f>
        <v>37042.465573203503</v>
      </c>
      <c r="E156" s="92">
        <f>IF(Table_1[[#This Row],[Column1]]&lt;='Buy Vs Rent Calculator'!$D$13*12,-IPMT('Buy Vs Rent Calculator'!$D$12/12,Table_1[[#This Row],[Column1]],'Buy Vs Rent Calculator'!$D$13*12,'Buy Vs Rent Calculator'!$D$21),0)</f>
        <v>32383.393096039214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2:16" ht="14.25" customHeight="1" x14ac:dyDescent="0.2">
      <c r="B157" s="91">
        <v>153</v>
      </c>
      <c r="C157" s="92">
        <f>IF(Table_1[[#This Row],[Column1]]&lt;='Buy Vs Rent Calculator'!$D$13*12,'Buy Vs Rent Calculator'!$D$22,0)</f>
        <v>69425.85866924272</v>
      </c>
      <c r="D157" s="92">
        <f>IF(Table_1[[#This Row],[Column1]]&lt;='Buy Vs Rent Calculator'!$D$13*12,-PPMT('Buy Vs Rent Calculator'!$D$12/12,Table_1[[#This Row],[Column1]],'Buy Vs Rent Calculator'!$D$13*12,'Buy Vs Rent Calculator'!$D$21),0)</f>
        <v>37304.849704347027</v>
      </c>
      <c r="E157" s="92">
        <f>IF(Table_1[[#This Row],[Column1]]&lt;='Buy Vs Rent Calculator'!$D$13*12,-IPMT('Buy Vs Rent Calculator'!$D$12/12,Table_1[[#This Row],[Column1]],'Buy Vs Rent Calculator'!$D$13*12,'Buy Vs Rent Calculator'!$D$21),0)</f>
        <v>32121.0089648957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2:16" ht="14.25" customHeight="1" x14ac:dyDescent="0.2">
      <c r="B158" s="91">
        <v>154</v>
      </c>
      <c r="C158" s="92">
        <f>IF(Table_1[[#This Row],[Column1]]&lt;='Buy Vs Rent Calculator'!$D$13*12,'Buy Vs Rent Calculator'!$D$22,0)</f>
        <v>69425.85866924272</v>
      </c>
      <c r="D158" s="92">
        <f>IF(Table_1[[#This Row],[Column1]]&lt;='Buy Vs Rent Calculator'!$D$13*12,-PPMT('Buy Vs Rent Calculator'!$D$12/12,Table_1[[#This Row],[Column1]],'Buy Vs Rent Calculator'!$D$13*12,'Buy Vs Rent Calculator'!$D$21),0)</f>
        <v>37569.092389752812</v>
      </c>
      <c r="E158" s="92">
        <f>IF(Table_1[[#This Row],[Column1]]&lt;='Buy Vs Rent Calculator'!$D$13*12,-IPMT('Buy Vs Rent Calculator'!$D$12/12,Table_1[[#This Row],[Column1]],'Buy Vs Rent Calculator'!$D$13*12,'Buy Vs Rent Calculator'!$D$21),0)</f>
        <v>31856.766279489912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2:16" ht="14.25" customHeight="1" x14ac:dyDescent="0.2">
      <c r="B159" s="91">
        <v>155</v>
      </c>
      <c r="C159" s="92">
        <f>IF(Table_1[[#This Row],[Column1]]&lt;='Buy Vs Rent Calculator'!$D$13*12,'Buy Vs Rent Calculator'!$D$22,0)</f>
        <v>69425.85866924272</v>
      </c>
      <c r="D159" s="92">
        <f>IF(Table_1[[#This Row],[Column1]]&lt;='Buy Vs Rent Calculator'!$D$13*12,-PPMT('Buy Vs Rent Calculator'!$D$12/12,Table_1[[#This Row],[Column1]],'Buy Vs Rent Calculator'!$D$13*12,'Buy Vs Rent Calculator'!$D$21),0)</f>
        <v>37835.206794180223</v>
      </c>
      <c r="E159" s="92">
        <f>IF(Table_1[[#This Row],[Column1]]&lt;='Buy Vs Rent Calculator'!$D$13*12,-IPMT('Buy Vs Rent Calculator'!$D$12/12,Table_1[[#This Row],[Column1]],'Buy Vs Rent Calculator'!$D$13*12,'Buy Vs Rent Calculator'!$D$21),0)</f>
        <v>31590.651875062489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2:16" ht="14.25" customHeight="1" x14ac:dyDescent="0.2">
      <c r="B160" s="91">
        <v>156</v>
      </c>
      <c r="C160" s="92">
        <f>IF(Table_1[[#This Row],[Column1]]&lt;='Buy Vs Rent Calculator'!$D$13*12,'Buy Vs Rent Calculator'!$D$22,0)</f>
        <v>69425.85866924272</v>
      </c>
      <c r="D160" s="92">
        <f>IF(Table_1[[#This Row],[Column1]]&lt;='Buy Vs Rent Calculator'!$D$13*12,-PPMT('Buy Vs Rent Calculator'!$D$12/12,Table_1[[#This Row],[Column1]],'Buy Vs Rent Calculator'!$D$13*12,'Buy Vs Rent Calculator'!$D$21),0)</f>
        <v>38103.20617563901</v>
      </c>
      <c r="E160" s="92">
        <f>IF(Table_1[[#This Row],[Column1]]&lt;='Buy Vs Rent Calculator'!$D$13*12,-IPMT('Buy Vs Rent Calculator'!$D$12/12,Table_1[[#This Row],[Column1]],'Buy Vs Rent Calculator'!$D$13*12,'Buy Vs Rent Calculator'!$D$21),0)</f>
        <v>31322.652493603713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2:16" ht="14.25" customHeight="1" x14ac:dyDescent="0.2">
      <c r="B161" s="91">
        <v>157</v>
      </c>
      <c r="C161" s="92">
        <f>IF(Table_1[[#This Row],[Column1]]&lt;='Buy Vs Rent Calculator'!$D$13*12,'Buy Vs Rent Calculator'!$D$22,0)</f>
        <v>69425.85866924272</v>
      </c>
      <c r="D161" s="92">
        <f>IF(Table_1[[#This Row],[Column1]]&lt;='Buy Vs Rent Calculator'!$D$13*12,-PPMT('Buy Vs Rent Calculator'!$D$12/12,Table_1[[#This Row],[Column1]],'Buy Vs Rent Calculator'!$D$13*12,'Buy Vs Rent Calculator'!$D$21),0)</f>
        <v>38373.103886049779</v>
      </c>
      <c r="E161" s="92">
        <f>IF(Table_1[[#This Row],[Column1]]&lt;='Buy Vs Rent Calculator'!$D$13*12,-IPMT('Buy Vs Rent Calculator'!$D$12/12,Table_1[[#This Row],[Column1]],'Buy Vs Rent Calculator'!$D$13*12,'Buy Vs Rent Calculator'!$D$21),0)</f>
        <v>31052.754783192933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2:16" ht="14.25" customHeight="1" x14ac:dyDescent="0.2">
      <c r="B162" s="91">
        <v>158</v>
      </c>
      <c r="C162" s="92">
        <f>IF(Table_1[[#This Row],[Column1]]&lt;='Buy Vs Rent Calculator'!$D$13*12,'Buy Vs Rent Calculator'!$D$22,0)</f>
        <v>69425.85866924272</v>
      </c>
      <c r="D162" s="92">
        <f>IF(Table_1[[#This Row],[Column1]]&lt;='Buy Vs Rent Calculator'!$D$13*12,-PPMT('Buy Vs Rent Calculator'!$D$12/12,Table_1[[#This Row],[Column1]],'Buy Vs Rent Calculator'!$D$13*12,'Buy Vs Rent Calculator'!$D$21),0)</f>
        <v>38644.913371909308</v>
      </c>
      <c r="E162" s="92">
        <f>IF(Table_1[[#This Row],[Column1]]&lt;='Buy Vs Rent Calculator'!$D$13*12,-IPMT('Buy Vs Rent Calculator'!$D$12/12,Table_1[[#This Row],[Column1]],'Buy Vs Rent Calculator'!$D$13*12,'Buy Vs Rent Calculator'!$D$21),0)</f>
        <v>30780.945297333419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2:16" ht="14.25" customHeight="1" x14ac:dyDescent="0.2">
      <c r="B163" s="91">
        <v>159</v>
      </c>
      <c r="C163" s="92">
        <f>IF(Table_1[[#This Row],[Column1]]&lt;='Buy Vs Rent Calculator'!$D$13*12,'Buy Vs Rent Calculator'!$D$22,0)</f>
        <v>69425.85866924272</v>
      </c>
      <c r="D163" s="92">
        <f>IF(Table_1[[#This Row],[Column1]]&lt;='Buy Vs Rent Calculator'!$D$13*12,-PPMT('Buy Vs Rent Calculator'!$D$12/12,Table_1[[#This Row],[Column1]],'Buy Vs Rent Calculator'!$D$13*12,'Buy Vs Rent Calculator'!$D$21),0)</f>
        <v>38918.648174960326</v>
      </c>
      <c r="E163" s="92">
        <f>IF(Table_1[[#This Row],[Column1]]&lt;='Buy Vs Rent Calculator'!$D$13*12,-IPMT('Buy Vs Rent Calculator'!$D$12/12,Table_1[[#This Row],[Column1]],'Buy Vs Rent Calculator'!$D$13*12,'Buy Vs Rent Calculator'!$D$21),0)</f>
        <v>30507.210494282401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2:16" ht="14.25" customHeight="1" x14ac:dyDescent="0.2">
      <c r="B164" s="91">
        <v>160</v>
      </c>
      <c r="C164" s="92">
        <f>IF(Table_1[[#This Row],[Column1]]&lt;='Buy Vs Rent Calculator'!$D$13*12,'Buy Vs Rent Calculator'!$D$22,0)</f>
        <v>69425.85866924272</v>
      </c>
      <c r="D164" s="92">
        <f>IF(Table_1[[#This Row],[Column1]]&lt;='Buy Vs Rent Calculator'!$D$13*12,-PPMT('Buy Vs Rent Calculator'!$D$12/12,Table_1[[#This Row],[Column1]],'Buy Vs Rent Calculator'!$D$13*12,'Buy Vs Rent Calculator'!$D$21),0)</f>
        <v>39194.321932866296</v>
      </c>
      <c r="E164" s="92">
        <f>IF(Table_1[[#This Row],[Column1]]&lt;='Buy Vs Rent Calculator'!$D$13*12,-IPMT('Buy Vs Rent Calculator'!$D$12/12,Table_1[[#This Row],[Column1]],'Buy Vs Rent Calculator'!$D$13*12,'Buy Vs Rent Calculator'!$D$21),0)</f>
        <v>30231.53673637642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2:16" ht="14.25" customHeight="1" x14ac:dyDescent="0.2">
      <c r="B165" s="91">
        <v>161</v>
      </c>
      <c r="C165" s="92">
        <f>IF(Table_1[[#This Row],[Column1]]&lt;='Buy Vs Rent Calculator'!$D$13*12,'Buy Vs Rent Calculator'!$D$22,0)</f>
        <v>69425.85866924272</v>
      </c>
      <c r="D165" s="92">
        <f>IF(Table_1[[#This Row],[Column1]]&lt;='Buy Vs Rent Calculator'!$D$13*12,-PPMT('Buy Vs Rent Calculator'!$D$12/12,Table_1[[#This Row],[Column1]],'Buy Vs Rent Calculator'!$D$13*12,'Buy Vs Rent Calculator'!$D$21),0)</f>
        <v>39471.948379890753</v>
      </c>
      <c r="E165" s="92">
        <f>IF(Table_1[[#This Row],[Column1]]&lt;='Buy Vs Rent Calculator'!$D$13*12,-IPMT('Buy Vs Rent Calculator'!$D$12/12,Table_1[[#This Row],[Column1]],'Buy Vs Rent Calculator'!$D$13*12,'Buy Vs Rent Calculator'!$D$21),0)</f>
        <v>29953.910289351948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2:16" ht="14.25" customHeight="1" x14ac:dyDescent="0.2">
      <c r="B166" s="91">
        <v>162</v>
      </c>
      <c r="C166" s="92">
        <f>IF(Table_1[[#This Row],[Column1]]&lt;='Buy Vs Rent Calculator'!$D$13*12,'Buy Vs Rent Calculator'!$D$22,0)</f>
        <v>69425.85866924272</v>
      </c>
      <c r="D166" s="92">
        <f>IF(Table_1[[#This Row],[Column1]]&lt;='Buy Vs Rent Calculator'!$D$13*12,-PPMT('Buy Vs Rent Calculator'!$D$12/12,Table_1[[#This Row],[Column1]],'Buy Vs Rent Calculator'!$D$13*12,'Buy Vs Rent Calculator'!$D$21),0)</f>
        <v>39751.54134758166</v>
      </c>
      <c r="E166" s="92">
        <f>IF(Table_1[[#This Row],[Column1]]&lt;='Buy Vs Rent Calculator'!$D$13*12,-IPMT('Buy Vs Rent Calculator'!$D$12/12,Table_1[[#This Row],[Column1]],'Buy Vs Rent Calculator'!$D$13*12,'Buy Vs Rent Calculator'!$D$21),0)</f>
        <v>29674.317321661063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2:16" ht="14.25" customHeight="1" x14ac:dyDescent="0.2">
      <c r="B167" s="91">
        <v>163</v>
      </c>
      <c r="C167" s="92">
        <f>IF(Table_1[[#This Row],[Column1]]&lt;='Buy Vs Rent Calculator'!$D$13*12,'Buy Vs Rent Calculator'!$D$22,0)</f>
        <v>69425.85866924272</v>
      </c>
      <c r="D167" s="92">
        <f>IF(Table_1[[#This Row],[Column1]]&lt;='Buy Vs Rent Calculator'!$D$13*12,-PPMT('Buy Vs Rent Calculator'!$D$12/12,Table_1[[#This Row],[Column1]],'Buy Vs Rent Calculator'!$D$13*12,'Buy Vs Rent Calculator'!$D$21),0)</f>
        <v>40033.114765460356</v>
      </c>
      <c r="E167" s="92">
        <f>IF(Table_1[[#This Row],[Column1]]&lt;='Buy Vs Rent Calculator'!$D$13*12,-IPMT('Buy Vs Rent Calculator'!$D$12/12,Table_1[[#This Row],[Column1]],'Buy Vs Rent Calculator'!$D$13*12,'Buy Vs Rent Calculator'!$D$21),0)</f>
        <v>29392.743903782353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2:16" ht="14.25" customHeight="1" x14ac:dyDescent="0.2">
      <c r="B168" s="91">
        <v>164</v>
      </c>
      <c r="C168" s="92">
        <f>IF(Table_1[[#This Row],[Column1]]&lt;='Buy Vs Rent Calculator'!$D$13*12,'Buy Vs Rent Calculator'!$D$22,0)</f>
        <v>69425.85866924272</v>
      </c>
      <c r="D168" s="92">
        <f>IF(Table_1[[#This Row],[Column1]]&lt;='Buy Vs Rent Calculator'!$D$13*12,-PPMT('Buy Vs Rent Calculator'!$D$12/12,Table_1[[#This Row],[Column1]],'Buy Vs Rent Calculator'!$D$13*12,'Buy Vs Rent Calculator'!$D$21),0)</f>
        <v>40316.682661715698</v>
      </c>
      <c r="E168" s="92">
        <f>IF(Table_1[[#This Row],[Column1]]&lt;='Buy Vs Rent Calculator'!$D$13*12,-IPMT('Buy Vs Rent Calculator'!$D$12/12,Table_1[[#This Row],[Column1]],'Buy Vs Rent Calculator'!$D$13*12,'Buy Vs Rent Calculator'!$D$21),0)</f>
        <v>29109.17600752701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2:16" ht="14.25" customHeight="1" x14ac:dyDescent="0.2">
      <c r="B169" s="91">
        <v>165</v>
      </c>
      <c r="C169" s="92">
        <f>IF(Table_1[[#This Row],[Column1]]&lt;='Buy Vs Rent Calculator'!$D$13*12,'Buy Vs Rent Calculator'!$D$22,0)</f>
        <v>69425.85866924272</v>
      </c>
      <c r="D169" s="92">
        <f>IF(Table_1[[#This Row],[Column1]]&lt;='Buy Vs Rent Calculator'!$D$13*12,-PPMT('Buy Vs Rent Calculator'!$D$12/12,Table_1[[#This Row],[Column1]],'Buy Vs Rent Calculator'!$D$13*12,'Buy Vs Rent Calculator'!$D$21),0)</f>
        <v>40602.259163902854</v>
      </c>
      <c r="E169" s="92">
        <f>IF(Table_1[[#This Row],[Column1]]&lt;='Buy Vs Rent Calculator'!$D$13*12,-IPMT('Buy Vs Rent Calculator'!$D$12/12,Table_1[[#This Row],[Column1]],'Buy Vs Rent Calculator'!$D$13*12,'Buy Vs Rent Calculator'!$D$21),0)</f>
        <v>28823.599505339858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2:16" ht="14.25" customHeight="1" x14ac:dyDescent="0.2">
      <c r="B170" s="91">
        <v>166</v>
      </c>
      <c r="C170" s="92">
        <f>IF(Table_1[[#This Row],[Column1]]&lt;='Buy Vs Rent Calculator'!$D$13*12,'Buy Vs Rent Calculator'!$D$22,0)</f>
        <v>69425.85866924272</v>
      </c>
      <c r="D170" s="92">
        <f>IF(Table_1[[#This Row],[Column1]]&lt;='Buy Vs Rent Calculator'!$D$13*12,-PPMT('Buy Vs Rent Calculator'!$D$12/12,Table_1[[#This Row],[Column1]],'Buy Vs Rent Calculator'!$D$13*12,'Buy Vs Rent Calculator'!$D$21),0)</f>
        <v>40889.858499647162</v>
      </c>
      <c r="E170" s="92">
        <f>IF(Table_1[[#This Row],[Column1]]&lt;='Buy Vs Rent Calculator'!$D$13*12,-IPMT('Buy Vs Rent Calculator'!$D$12/12,Table_1[[#This Row],[Column1]],'Buy Vs Rent Calculator'!$D$13*12,'Buy Vs Rent Calculator'!$D$21),0)</f>
        <v>28536.000169595547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2:16" ht="14.25" customHeight="1" x14ac:dyDescent="0.2">
      <c r="B171" s="91">
        <v>167</v>
      </c>
      <c r="C171" s="92">
        <f>IF(Table_1[[#This Row],[Column1]]&lt;='Buy Vs Rent Calculator'!$D$13*12,'Buy Vs Rent Calculator'!$D$22,0)</f>
        <v>69425.85866924272</v>
      </c>
      <c r="D171" s="92">
        <f>IF(Table_1[[#This Row],[Column1]]&lt;='Buy Vs Rent Calculator'!$D$13*12,-PPMT('Buy Vs Rent Calculator'!$D$12/12,Table_1[[#This Row],[Column1]],'Buy Vs Rent Calculator'!$D$13*12,'Buy Vs Rent Calculator'!$D$21),0)</f>
        <v>41179.494997353002</v>
      </c>
      <c r="E171" s="92">
        <f>IF(Table_1[[#This Row],[Column1]]&lt;='Buy Vs Rent Calculator'!$D$13*12,-IPMT('Buy Vs Rent Calculator'!$D$12/12,Table_1[[#This Row],[Column1]],'Buy Vs Rent Calculator'!$D$13*12,'Buy Vs Rent Calculator'!$D$21),0)</f>
        <v>28246.363671889714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2:16" ht="14.25" customHeight="1" x14ac:dyDescent="0.2">
      <c r="B172" s="91">
        <v>168</v>
      </c>
      <c r="C172" s="92">
        <f>IF(Table_1[[#This Row],[Column1]]&lt;='Buy Vs Rent Calculator'!$D$13*12,'Buy Vs Rent Calculator'!$D$22,0)</f>
        <v>69425.85866924272</v>
      </c>
      <c r="D172" s="92">
        <f>IF(Table_1[[#This Row],[Column1]]&lt;='Buy Vs Rent Calculator'!$D$13*12,-PPMT('Buy Vs Rent Calculator'!$D$12/12,Table_1[[#This Row],[Column1]],'Buy Vs Rent Calculator'!$D$13*12,'Buy Vs Rent Calculator'!$D$21),0)</f>
        <v>41471.18308691759</v>
      </c>
      <c r="E172" s="92">
        <f>IF(Table_1[[#This Row],[Column1]]&lt;='Buy Vs Rent Calculator'!$D$13*12,-IPMT('Buy Vs Rent Calculator'!$D$12/12,Table_1[[#This Row],[Column1]],'Buy Vs Rent Calculator'!$D$13*12,'Buy Vs Rent Calculator'!$D$21),0)</f>
        <v>27954.67558232513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2:16" ht="14.25" customHeight="1" x14ac:dyDescent="0.2">
      <c r="B173" s="91">
        <v>169</v>
      </c>
      <c r="C173" s="92">
        <f>IF(Table_1[[#This Row],[Column1]]&lt;='Buy Vs Rent Calculator'!$D$13*12,'Buy Vs Rent Calculator'!$D$22,0)</f>
        <v>69425.85866924272</v>
      </c>
      <c r="D173" s="92">
        <f>IF(Table_1[[#This Row],[Column1]]&lt;='Buy Vs Rent Calculator'!$D$13*12,-PPMT('Buy Vs Rent Calculator'!$D$12/12,Table_1[[#This Row],[Column1]],'Buy Vs Rent Calculator'!$D$13*12,'Buy Vs Rent Calculator'!$D$21),0)</f>
        <v>41764.937300449914</v>
      </c>
      <c r="E173" s="92">
        <f>IF(Table_1[[#This Row],[Column1]]&lt;='Buy Vs Rent Calculator'!$D$13*12,-IPMT('Buy Vs Rent Calculator'!$D$12/12,Table_1[[#This Row],[Column1]],'Buy Vs Rent Calculator'!$D$13*12,'Buy Vs Rent Calculator'!$D$21),0)</f>
        <v>27660.921368792799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2:16" ht="14.25" customHeight="1" x14ac:dyDescent="0.2">
      <c r="B174" s="91">
        <v>170</v>
      </c>
      <c r="C174" s="92">
        <f>IF(Table_1[[#This Row],[Column1]]&lt;='Buy Vs Rent Calculator'!$D$13*12,'Buy Vs Rent Calculator'!$D$22,0)</f>
        <v>69425.85866924272</v>
      </c>
      <c r="D174" s="92">
        <f>IF(Table_1[[#This Row],[Column1]]&lt;='Buy Vs Rent Calculator'!$D$13*12,-PPMT('Buy Vs Rent Calculator'!$D$12/12,Table_1[[#This Row],[Column1]],'Buy Vs Rent Calculator'!$D$13*12,'Buy Vs Rent Calculator'!$D$21),0)</f>
        <v>42060.772272994778</v>
      </c>
      <c r="E174" s="92">
        <f>IF(Table_1[[#This Row],[Column1]]&lt;='Buy Vs Rent Calculator'!$D$13*12,-IPMT('Buy Vs Rent Calculator'!$D$12/12,Table_1[[#This Row],[Column1]],'Buy Vs Rent Calculator'!$D$13*12,'Buy Vs Rent Calculator'!$D$21),0)</f>
        <v>27365.086396247953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2:16" ht="14.25" customHeight="1" x14ac:dyDescent="0.2">
      <c r="B175" s="91">
        <v>171</v>
      </c>
      <c r="C175" s="92">
        <f>IF(Table_1[[#This Row],[Column1]]&lt;='Buy Vs Rent Calculator'!$D$13*12,'Buy Vs Rent Calculator'!$D$22,0)</f>
        <v>69425.85866924272</v>
      </c>
      <c r="D175" s="92">
        <f>IF(Table_1[[#This Row],[Column1]]&lt;='Buy Vs Rent Calculator'!$D$13*12,-PPMT('Buy Vs Rent Calculator'!$D$12/12,Table_1[[#This Row],[Column1]],'Buy Vs Rent Calculator'!$D$13*12,'Buy Vs Rent Calculator'!$D$21),0)</f>
        <v>42358.70274326182</v>
      </c>
      <c r="E175" s="92">
        <f>IF(Table_1[[#This Row],[Column1]]&lt;='Buy Vs Rent Calculator'!$D$13*12,-IPMT('Buy Vs Rent Calculator'!$D$12/12,Table_1[[#This Row],[Column1]],'Buy Vs Rent Calculator'!$D$13*12,'Buy Vs Rent Calculator'!$D$21),0)</f>
        <v>27067.155925980896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2:16" ht="14.25" customHeight="1" x14ac:dyDescent="0.2">
      <c r="B176" s="91">
        <v>172</v>
      </c>
      <c r="C176" s="92">
        <f>IF(Table_1[[#This Row],[Column1]]&lt;='Buy Vs Rent Calculator'!$D$13*12,'Buy Vs Rent Calculator'!$D$22,0)</f>
        <v>69425.85866924272</v>
      </c>
      <c r="D176" s="92">
        <f>IF(Table_1[[#This Row],[Column1]]&lt;='Buy Vs Rent Calculator'!$D$13*12,-PPMT('Buy Vs Rent Calculator'!$D$12/12,Table_1[[#This Row],[Column1]],'Buy Vs Rent Calculator'!$D$13*12,'Buy Vs Rent Calculator'!$D$21),0)</f>
        <v>42658.743554359928</v>
      </c>
      <c r="E176" s="92">
        <f>IF(Table_1[[#This Row],[Column1]]&lt;='Buy Vs Rent Calculator'!$D$13*12,-IPMT('Buy Vs Rent Calculator'!$D$12/12,Table_1[[#This Row],[Column1]],'Buy Vs Rent Calculator'!$D$13*12,'Buy Vs Rent Calculator'!$D$21),0)</f>
        <v>26767.115114882799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2:16" ht="14.25" customHeight="1" x14ac:dyDescent="0.2">
      <c r="B177" s="91">
        <v>173</v>
      </c>
      <c r="C177" s="92">
        <f>IF(Table_1[[#This Row],[Column1]]&lt;='Buy Vs Rent Calculator'!$D$13*12,'Buy Vs Rent Calculator'!$D$22,0)</f>
        <v>69425.85866924272</v>
      </c>
      <c r="D177" s="92">
        <f>IF(Table_1[[#This Row],[Column1]]&lt;='Buy Vs Rent Calculator'!$D$13*12,-PPMT('Buy Vs Rent Calculator'!$D$12/12,Table_1[[#This Row],[Column1]],'Buy Vs Rent Calculator'!$D$13*12,'Buy Vs Rent Calculator'!$D$21),0)</f>
        <v>42960.909654536641</v>
      </c>
      <c r="E177" s="92">
        <f>IF(Table_1[[#This Row],[Column1]]&lt;='Buy Vs Rent Calculator'!$D$13*12,-IPMT('Buy Vs Rent Calculator'!$D$12/12,Table_1[[#This Row],[Column1]],'Buy Vs Rent Calculator'!$D$13*12,'Buy Vs Rent Calculator'!$D$21),0)</f>
        <v>26464.949014706079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2:16" ht="14.25" customHeight="1" x14ac:dyDescent="0.2">
      <c r="B178" s="91">
        <v>174</v>
      </c>
      <c r="C178" s="92">
        <f>IF(Table_1[[#This Row],[Column1]]&lt;='Buy Vs Rent Calculator'!$D$13*12,'Buy Vs Rent Calculator'!$D$22,0)</f>
        <v>69425.85866924272</v>
      </c>
      <c r="D178" s="92">
        <f>IF(Table_1[[#This Row],[Column1]]&lt;='Buy Vs Rent Calculator'!$D$13*12,-PPMT('Buy Vs Rent Calculator'!$D$12/12,Table_1[[#This Row],[Column1]],'Buy Vs Rent Calculator'!$D$13*12,'Buy Vs Rent Calculator'!$D$21),0)</f>
        <v>43265.216097922945</v>
      </c>
      <c r="E178" s="92">
        <f>IF(Table_1[[#This Row],[Column1]]&lt;='Buy Vs Rent Calculator'!$D$13*12,-IPMT('Buy Vs Rent Calculator'!$D$12/12,Table_1[[#This Row],[Column1]],'Buy Vs Rent Calculator'!$D$13*12,'Buy Vs Rent Calculator'!$D$21),0)</f>
        <v>26160.642571319782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2:16" ht="14.25" customHeight="1" x14ac:dyDescent="0.2">
      <c r="B179" s="91">
        <v>175</v>
      </c>
      <c r="C179" s="92">
        <f>IF(Table_1[[#This Row],[Column1]]&lt;='Buy Vs Rent Calculator'!$D$13*12,'Buy Vs Rent Calculator'!$D$22,0)</f>
        <v>69425.85866924272</v>
      </c>
      <c r="D179" s="92">
        <f>IF(Table_1[[#This Row],[Column1]]&lt;='Buy Vs Rent Calculator'!$D$13*12,-PPMT('Buy Vs Rent Calculator'!$D$12/12,Table_1[[#This Row],[Column1]],'Buy Vs Rent Calculator'!$D$13*12,'Buy Vs Rent Calculator'!$D$21),0)</f>
        <v>43571.678045283232</v>
      </c>
      <c r="E179" s="92">
        <f>IF(Table_1[[#This Row],[Column1]]&lt;='Buy Vs Rent Calculator'!$D$13*12,-IPMT('Buy Vs Rent Calculator'!$D$12/12,Table_1[[#This Row],[Column1]],'Buy Vs Rent Calculator'!$D$13*12,'Buy Vs Rent Calculator'!$D$21),0)</f>
        <v>25854.180623959492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2:16" ht="14.25" customHeight="1" x14ac:dyDescent="0.2">
      <c r="B180" s="91">
        <v>176</v>
      </c>
      <c r="C180" s="92">
        <f>IF(Table_1[[#This Row],[Column1]]&lt;='Buy Vs Rent Calculator'!$D$13*12,'Buy Vs Rent Calculator'!$D$22,0)</f>
        <v>69425.85866924272</v>
      </c>
      <c r="D180" s="92">
        <f>IF(Table_1[[#This Row],[Column1]]&lt;='Buy Vs Rent Calculator'!$D$13*12,-PPMT('Buy Vs Rent Calculator'!$D$12/12,Table_1[[#This Row],[Column1]],'Buy Vs Rent Calculator'!$D$13*12,'Buy Vs Rent Calculator'!$D$21),0)</f>
        <v>43880.310764770657</v>
      </c>
      <c r="E180" s="92">
        <f>IF(Table_1[[#This Row],[Column1]]&lt;='Buy Vs Rent Calculator'!$D$13*12,-IPMT('Buy Vs Rent Calculator'!$D$12/12,Table_1[[#This Row],[Column1]],'Buy Vs Rent Calculator'!$D$13*12,'Buy Vs Rent Calculator'!$D$21),0)</f>
        <v>25545.547904472067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2:16" ht="14.25" customHeight="1" x14ac:dyDescent="0.2">
      <c r="B181" s="91">
        <v>177</v>
      </c>
      <c r="C181" s="92">
        <f>IF(Table_1[[#This Row],[Column1]]&lt;='Buy Vs Rent Calculator'!$D$13*12,'Buy Vs Rent Calculator'!$D$22,0)</f>
        <v>69425.85866924272</v>
      </c>
      <c r="D181" s="92">
        <f>IF(Table_1[[#This Row],[Column1]]&lt;='Buy Vs Rent Calculator'!$D$13*12,-PPMT('Buy Vs Rent Calculator'!$D$12/12,Table_1[[#This Row],[Column1]],'Buy Vs Rent Calculator'!$D$13*12,'Buy Vs Rent Calculator'!$D$21),0)</f>
        <v>44191.129632687778</v>
      </c>
      <c r="E181" s="92">
        <f>IF(Table_1[[#This Row],[Column1]]&lt;='Buy Vs Rent Calculator'!$D$13*12,-IPMT('Buy Vs Rent Calculator'!$D$12/12,Table_1[[#This Row],[Column1]],'Buy Vs Rent Calculator'!$D$13*12,'Buy Vs Rent Calculator'!$D$21),0)</f>
        <v>25234.729036554942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2:16" ht="14.25" customHeight="1" x14ac:dyDescent="0.2">
      <c r="B182" s="91">
        <v>178</v>
      </c>
      <c r="C182" s="92">
        <f>IF(Table_1[[#This Row],[Column1]]&lt;='Buy Vs Rent Calculator'!$D$13*12,'Buy Vs Rent Calculator'!$D$22,0)</f>
        <v>69425.85866924272</v>
      </c>
      <c r="D182" s="92">
        <f>IF(Table_1[[#This Row],[Column1]]&lt;='Buy Vs Rent Calculator'!$D$13*12,-PPMT('Buy Vs Rent Calculator'!$D$12/12,Table_1[[#This Row],[Column1]],'Buy Vs Rent Calculator'!$D$13*12,'Buy Vs Rent Calculator'!$D$21),0)</f>
        <v>44504.150134252646</v>
      </c>
      <c r="E182" s="92">
        <f>IF(Table_1[[#This Row],[Column1]]&lt;='Buy Vs Rent Calculator'!$D$13*12,-IPMT('Buy Vs Rent Calculator'!$D$12/12,Table_1[[#This Row],[Column1]],'Buy Vs Rent Calculator'!$D$13*12,'Buy Vs Rent Calculator'!$D$21),0)</f>
        <v>24921.70853499007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2:16" ht="14.25" customHeight="1" x14ac:dyDescent="0.2">
      <c r="B183" s="91">
        <v>179</v>
      </c>
      <c r="C183" s="92">
        <f>IF(Table_1[[#This Row],[Column1]]&lt;='Buy Vs Rent Calculator'!$D$13*12,'Buy Vs Rent Calculator'!$D$22,0)</f>
        <v>69425.85866924272</v>
      </c>
      <c r="D183" s="92">
        <f>IF(Table_1[[#This Row],[Column1]]&lt;='Buy Vs Rent Calculator'!$D$13*12,-PPMT('Buy Vs Rent Calculator'!$D$12/12,Table_1[[#This Row],[Column1]],'Buy Vs Rent Calculator'!$D$13*12,'Buy Vs Rent Calculator'!$D$21),0)</f>
        <v>44819.387864370277</v>
      </c>
      <c r="E183" s="92">
        <f>IF(Table_1[[#This Row],[Column1]]&lt;='Buy Vs Rent Calculator'!$D$13*12,-IPMT('Buy Vs Rent Calculator'!$D$12/12,Table_1[[#This Row],[Column1]],'Buy Vs Rent Calculator'!$D$13*12,'Buy Vs Rent Calculator'!$D$21),0)</f>
        <v>24606.470804872446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2:16" ht="14.25" customHeight="1" x14ac:dyDescent="0.2">
      <c r="B184" s="91">
        <v>180</v>
      </c>
      <c r="C184" s="92">
        <f>IF(Table_1[[#This Row],[Column1]]&lt;='Buy Vs Rent Calculator'!$D$13*12,'Buy Vs Rent Calculator'!$D$22,0)</f>
        <v>69425.85866924272</v>
      </c>
      <c r="D184" s="92">
        <f>IF(Table_1[[#This Row],[Column1]]&lt;='Buy Vs Rent Calculator'!$D$13*12,-PPMT('Buy Vs Rent Calculator'!$D$12/12,Table_1[[#This Row],[Column1]],'Buy Vs Rent Calculator'!$D$13*12,'Buy Vs Rent Calculator'!$D$21),0)</f>
        <v>45136.858528409561</v>
      </c>
      <c r="E184" s="92">
        <f>IF(Table_1[[#This Row],[Column1]]&lt;='Buy Vs Rent Calculator'!$D$13*12,-IPMT('Buy Vs Rent Calculator'!$D$12/12,Table_1[[#This Row],[Column1]],'Buy Vs Rent Calculator'!$D$13*12,'Buy Vs Rent Calculator'!$D$21),0)</f>
        <v>24289.000140833159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2:16" ht="14.25" customHeight="1" x14ac:dyDescent="0.2">
      <c r="B185" s="91">
        <v>181</v>
      </c>
      <c r="C185" s="92">
        <f>IF(Table_1[[#This Row],[Column1]]&lt;='Buy Vs Rent Calculator'!$D$13*12,'Buy Vs Rent Calculator'!$D$22,0)</f>
        <v>69425.85866924272</v>
      </c>
      <c r="D185" s="92">
        <f>IF(Table_1[[#This Row],[Column1]]&lt;='Buy Vs Rent Calculator'!$D$13*12,-PPMT('Buy Vs Rent Calculator'!$D$12/12,Table_1[[#This Row],[Column1]],'Buy Vs Rent Calculator'!$D$13*12,'Buy Vs Rent Calculator'!$D$21),0)</f>
        <v>45456.577942985801</v>
      </c>
      <c r="E185" s="92">
        <f>IF(Table_1[[#This Row],[Column1]]&lt;='Buy Vs Rent Calculator'!$D$13*12,-IPMT('Buy Vs Rent Calculator'!$D$12/12,Table_1[[#This Row],[Column1]],'Buy Vs Rent Calculator'!$D$13*12,'Buy Vs Rent Calculator'!$D$21),0)</f>
        <v>23969.280726256926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2:16" ht="14.25" customHeight="1" x14ac:dyDescent="0.2">
      <c r="B186" s="91">
        <v>182</v>
      </c>
      <c r="C186" s="92">
        <f>IF(Table_1[[#This Row],[Column1]]&lt;='Buy Vs Rent Calculator'!$D$13*12,'Buy Vs Rent Calculator'!$D$22,0)</f>
        <v>69425.85866924272</v>
      </c>
      <c r="D186" s="92">
        <f>IF(Table_1[[#This Row],[Column1]]&lt;='Buy Vs Rent Calculator'!$D$13*12,-PPMT('Buy Vs Rent Calculator'!$D$12/12,Table_1[[#This Row],[Column1]],'Buy Vs Rent Calculator'!$D$13*12,'Buy Vs Rent Calculator'!$D$21),0)</f>
        <v>45778.562036748619</v>
      </c>
      <c r="E186" s="92">
        <f>IF(Table_1[[#This Row],[Column1]]&lt;='Buy Vs Rent Calculator'!$D$13*12,-IPMT('Buy Vs Rent Calculator'!$D$12/12,Table_1[[#This Row],[Column1]],'Buy Vs Rent Calculator'!$D$13*12,'Buy Vs Rent Calculator'!$D$21),0)</f>
        <v>23647.296632494108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2:16" ht="14.25" customHeight="1" x14ac:dyDescent="0.2">
      <c r="B187" s="91">
        <v>183</v>
      </c>
      <c r="C187" s="92">
        <f>IF(Table_1[[#This Row],[Column1]]&lt;='Buy Vs Rent Calculator'!$D$13*12,'Buy Vs Rent Calculator'!$D$22,0)</f>
        <v>69425.85866924272</v>
      </c>
      <c r="D187" s="92">
        <f>IF(Table_1[[#This Row],[Column1]]&lt;='Buy Vs Rent Calculator'!$D$13*12,-PPMT('Buy Vs Rent Calculator'!$D$12/12,Table_1[[#This Row],[Column1]],'Buy Vs Rent Calculator'!$D$13*12,'Buy Vs Rent Calculator'!$D$21),0)</f>
        <v>46102.826851175574</v>
      </c>
      <c r="E187" s="92">
        <f>IF(Table_1[[#This Row],[Column1]]&lt;='Buy Vs Rent Calculator'!$D$13*12,-IPMT('Buy Vs Rent Calculator'!$D$12/12,Table_1[[#This Row],[Column1]],'Buy Vs Rent Calculator'!$D$13*12,'Buy Vs Rent Calculator'!$D$21),0)</f>
        <v>23323.031818067138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2:16" ht="14.25" customHeight="1" x14ac:dyDescent="0.2">
      <c r="B188" s="91">
        <v>184</v>
      </c>
      <c r="C188" s="92">
        <f>IF(Table_1[[#This Row],[Column1]]&lt;='Buy Vs Rent Calculator'!$D$13*12,'Buy Vs Rent Calculator'!$D$22,0)</f>
        <v>69425.85866924272</v>
      </c>
      <c r="D188" s="92">
        <f>IF(Table_1[[#This Row],[Column1]]&lt;='Buy Vs Rent Calculator'!$D$13*12,-PPMT('Buy Vs Rent Calculator'!$D$12/12,Table_1[[#This Row],[Column1]],'Buy Vs Rent Calculator'!$D$13*12,'Buy Vs Rent Calculator'!$D$21),0)</f>
        <v>46429.388541371409</v>
      </c>
      <c r="E188" s="92">
        <f>IF(Table_1[[#This Row],[Column1]]&lt;='Buy Vs Rent Calculator'!$D$13*12,-IPMT('Buy Vs Rent Calculator'!$D$12/12,Table_1[[#This Row],[Column1]],'Buy Vs Rent Calculator'!$D$13*12,'Buy Vs Rent Calculator'!$D$21),0)</f>
        <v>22996.470127871307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2:16" ht="14.25" customHeight="1" x14ac:dyDescent="0.2">
      <c r="B189" s="91">
        <v>185</v>
      </c>
      <c r="C189" s="92">
        <f>IF(Table_1[[#This Row],[Column1]]&lt;='Buy Vs Rent Calculator'!$D$13*12,'Buy Vs Rent Calculator'!$D$22,0)</f>
        <v>69425.85866924272</v>
      </c>
      <c r="D189" s="92">
        <f>IF(Table_1[[#This Row],[Column1]]&lt;='Buy Vs Rent Calculator'!$D$13*12,-PPMT('Buy Vs Rent Calculator'!$D$12/12,Table_1[[#This Row],[Column1]],'Buy Vs Rent Calculator'!$D$13*12,'Buy Vs Rent Calculator'!$D$21),0)</f>
        <v>46758.26337687279</v>
      </c>
      <c r="E189" s="92">
        <f>IF(Table_1[[#This Row],[Column1]]&lt;='Buy Vs Rent Calculator'!$D$13*12,-IPMT('Buy Vs Rent Calculator'!$D$12/12,Table_1[[#This Row],[Column1]],'Buy Vs Rent Calculator'!$D$13*12,'Buy Vs Rent Calculator'!$D$21),0)</f>
        <v>22667.59529236993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2:16" ht="14.25" customHeight="1" x14ac:dyDescent="0.2">
      <c r="B190" s="91">
        <v>186</v>
      </c>
      <c r="C190" s="92">
        <f>IF(Table_1[[#This Row],[Column1]]&lt;='Buy Vs Rent Calculator'!$D$13*12,'Buy Vs Rent Calculator'!$D$22,0)</f>
        <v>69425.85866924272</v>
      </c>
      <c r="D190" s="92">
        <f>IF(Table_1[[#This Row],[Column1]]&lt;='Buy Vs Rent Calculator'!$D$13*12,-PPMT('Buy Vs Rent Calculator'!$D$12/12,Table_1[[#This Row],[Column1]],'Buy Vs Rent Calculator'!$D$13*12,'Buy Vs Rent Calculator'!$D$21),0)</f>
        <v>47089.467742458975</v>
      </c>
      <c r="E190" s="92">
        <f>IF(Table_1[[#This Row],[Column1]]&lt;='Buy Vs Rent Calculator'!$D$13*12,-IPMT('Buy Vs Rent Calculator'!$D$12/12,Table_1[[#This Row],[Column1]],'Buy Vs Rent Calculator'!$D$13*12,'Buy Vs Rent Calculator'!$D$21),0)</f>
        <v>22336.390926783748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2:16" ht="14.25" customHeight="1" x14ac:dyDescent="0.2">
      <c r="B191" s="91">
        <v>187</v>
      </c>
      <c r="C191" s="92">
        <f>IF(Table_1[[#This Row],[Column1]]&lt;='Buy Vs Rent Calculator'!$D$13*12,'Buy Vs Rent Calculator'!$D$22,0)</f>
        <v>69425.85866924272</v>
      </c>
      <c r="D191" s="92">
        <f>IF(Table_1[[#This Row],[Column1]]&lt;='Buy Vs Rent Calculator'!$D$13*12,-PPMT('Buy Vs Rent Calculator'!$D$12/12,Table_1[[#This Row],[Column1]],'Buy Vs Rent Calculator'!$D$13*12,'Buy Vs Rent Calculator'!$D$21),0)</f>
        <v>47423.018138968058</v>
      </c>
      <c r="E191" s="92">
        <f>IF(Table_1[[#This Row],[Column1]]&lt;='Buy Vs Rent Calculator'!$D$13*12,-IPMT('Buy Vs Rent Calculator'!$D$12/12,Table_1[[#This Row],[Column1]],'Buy Vs Rent Calculator'!$D$13*12,'Buy Vs Rent Calculator'!$D$21),0)</f>
        <v>22002.840530274665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2:16" ht="14.25" customHeight="1" x14ac:dyDescent="0.2">
      <c r="B192" s="91">
        <v>188</v>
      </c>
      <c r="C192" s="92">
        <f>IF(Table_1[[#This Row],[Column1]]&lt;='Buy Vs Rent Calculator'!$D$13*12,'Buy Vs Rent Calculator'!$D$22,0)</f>
        <v>69425.85866924272</v>
      </c>
      <c r="D192" s="92">
        <f>IF(Table_1[[#This Row],[Column1]]&lt;='Buy Vs Rent Calculator'!$D$13*12,-PPMT('Buy Vs Rent Calculator'!$D$12/12,Table_1[[#This Row],[Column1]],'Buy Vs Rent Calculator'!$D$13*12,'Buy Vs Rent Calculator'!$D$21),0)</f>
        <v>47758.931184119072</v>
      </c>
      <c r="E192" s="92">
        <f>IF(Table_1[[#This Row],[Column1]]&lt;='Buy Vs Rent Calculator'!$D$13*12,-IPMT('Buy Vs Rent Calculator'!$D$12/12,Table_1[[#This Row],[Column1]],'Buy Vs Rent Calculator'!$D$13*12,'Buy Vs Rent Calculator'!$D$21),0)</f>
        <v>21666.927485123641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2:16" ht="14.25" customHeight="1" x14ac:dyDescent="0.2">
      <c r="B193" s="91">
        <v>189</v>
      </c>
      <c r="C193" s="92">
        <f>IF(Table_1[[#This Row],[Column1]]&lt;='Buy Vs Rent Calculator'!$D$13*12,'Buy Vs Rent Calculator'!$D$22,0)</f>
        <v>69425.85866924272</v>
      </c>
      <c r="D193" s="92">
        <f>IF(Table_1[[#This Row],[Column1]]&lt;='Buy Vs Rent Calculator'!$D$13*12,-PPMT('Buy Vs Rent Calculator'!$D$12/12,Table_1[[#This Row],[Column1]],'Buy Vs Rent Calculator'!$D$13*12,'Buy Vs Rent Calculator'!$D$21),0)</f>
        <v>48097.223613339927</v>
      </c>
      <c r="E193" s="92">
        <f>IF(Table_1[[#This Row],[Column1]]&lt;='Buy Vs Rent Calculator'!$D$13*12,-IPMT('Buy Vs Rent Calculator'!$D$12/12,Table_1[[#This Row],[Column1]],'Buy Vs Rent Calculator'!$D$13*12,'Buy Vs Rent Calculator'!$D$21),0)</f>
        <v>21328.635055902796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2:16" ht="14.25" customHeight="1" x14ac:dyDescent="0.2">
      <c r="B194" s="91">
        <v>190</v>
      </c>
      <c r="C194" s="92">
        <f>IF(Table_1[[#This Row],[Column1]]&lt;='Buy Vs Rent Calculator'!$D$13*12,'Buy Vs Rent Calculator'!$D$22,0)</f>
        <v>69425.85866924272</v>
      </c>
      <c r="D194" s="92">
        <f>IF(Table_1[[#This Row],[Column1]]&lt;='Buy Vs Rent Calculator'!$D$13*12,-PPMT('Buy Vs Rent Calculator'!$D$12/12,Table_1[[#This Row],[Column1]],'Buy Vs Rent Calculator'!$D$13*12,'Buy Vs Rent Calculator'!$D$21),0)</f>
        <v>48437.912280601078</v>
      </c>
      <c r="E194" s="92">
        <f>IF(Table_1[[#This Row],[Column1]]&lt;='Buy Vs Rent Calculator'!$D$13*12,-IPMT('Buy Vs Rent Calculator'!$D$12/12,Table_1[[#This Row],[Column1]],'Buy Vs Rent Calculator'!$D$13*12,'Buy Vs Rent Calculator'!$D$21),0)</f>
        <v>20987.946388641638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2:16" ht="14.25" customHeight="1" x14ac:dyDescent="0.2">
      <c r="B195" s="91">
        <v>191</v>
      </c>
      <c r="C195" s="92">
        <f>IF(Table_1[[#This Row],[Column1]]&lt;='Buy Vs Rent Calculator'!$D$13*12,'Buy Vs Rent Calculator'!$D$22,0)</f>
        <v>69425.85866924272</v>
      </c>
      <c r="D195" s="92">
        <f>IF(Table_1[[#This Row],[Column1]]&lt;='Buy Vs Rent Calculator'!$D$13*12,-PPMT('Buy Vs Rent Calculator'!$D$12/12,Table_1[[#This Row],[Column1]],'Buy Vs Rent Calculator'!$D$13*12,'Buy Vs Rent Calculator'!$D$21),0)</f>
        <v>48781.014159255334</v>
      </c>
      <c r="E195" s="92">
        <f>IF(Table_1[[#This Row],[Column1]]&lt;='Buy Vs Rent Calculator'!$D$13*12,-IPMT('Buy Vs Rent Calculator'!$D$12/12,Table_1[[#This Row],[Column1]],'Buy Vs Rent Calculator'!$D$13*12,'Buy Vs Rent Calculator'!$D$21),0)</f>
        <v>20644.844509987386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2:16" ht="14.25" customHeight="1" x14ac:dyDescent="0.2">
      <c r="B196" s="91">
        <v>192</v>
      </c>
      <c r="C196" s="92">
        <f>IF(Table_1[[#This Row],[Column1]]&lt;='Buy Vs Rent Calculator'!$D$13*12,'Buy Vs Rent Calculator'!$D$22,0)</f>
        <v>69425.85866924272</v>
      </c>
      <c r="D196" s="92">
        <f>IF(Table_1[[#This Row],[Column1]]&lt;='Buy Vs Rent Calculator'!$D$13*12,-PPMT('Buy Vs Rent Calculator'!$D$12/12,Table_1[[#This Row],[Column1]],'Buy Vs Rent Calculator'!$D$13*12,'Buy Vs Rent Calculator'!$D$21),0)</f>
        <v>49126.546342883397</v>
      </c>
      <c r="E196" s="92">
        <f>IF(Table_1[[#This Row],[Column1]]&lt;='Buy Vs Rent Calculator'!$D$13*12,-IPMT('Buy Vs Rent Calculator'!$D$12/12,Table_1[[#This Row],[Column1]],'Buy Vs Rent Calculator'!$D$13*12,'Buy Vs Rent Calculator'!$D$21),0)</f>
        <v>20299.312326359326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2:16" ht="14.25" customHeight="1" x14ac:dyDescent="0.2">
      <c r="B197" s="91">
        <v>193</v>
      </c>
      <c r="C197" s="92">
        <f>IF(Table_1[[#This Row],[Column1]]&lt;='Buy Vs Rent Calculator'!$D$13*12,'Buy Vs Rent Calculator'!$D$22,0)</f>
        <v>69425.85866924272</v>
      </c>
      <c r="D197" s="92">
        <f>IF(Table_1[[#This Row],[Column1]]&lt;='Buy Vs Rent Calculator'!$D$13*12,-PPMT('Buy Vs Rent Calculator'!$D$12/12,Table_1[[#This Row],[Column1]],'Buy Vs Rent Calculator'!$D$13*12,'Buy Vs Rent Calculator'!$D$21),0)</f>
        <v>49474.526046145489</v>
      </c>
      <c r="E197" s="92">
        <f>IF(Table_1[[#This Row],[Column1]]&lt;='Buy Vs Rent Calculator'!$D$13*12,-IPMT('Buy Vs Rent Calculator'!$D$12/12,Table_1[[#This Row],[Column1]],'Buy Vs Rent Calculator'!$D$13*12,'Buy Vs Rent Calculator'!$D$21),0)</f>
        <v>19951.332623097231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2:16" ht="14.25" customHeight="1" x14ac:dyDescent="0.2">
      <c r="B198" s="91">
        <v>194</v>
      </c>
      <c r="C198" s="92">
        <f>IF(Table_1[[#This Row],[Column1]]&lt;='Buy Vs Rent Calculator'!$D$13*12,'Buy Vs Rent Calculator'!$D$22,0)</f>
        <v>69425.85866924272</v>
      </c>
      <c r="D198" s="92">
        <f>IF(Table_1[[#This Row],[Column1]]&lt;='Buy Vs Rent Calculator'!$D$13*12,-PPMT('Buy Vs Rent Calculator'!$D$12/12,Table_1[[#This Row],[Column1]],'Buy Vs Rent Calculator'!$D$13*12,'Buy Vs Rent Calculator'!$D$21),0)</f>
        <v>49824.970605639021</v>
      </c>
      <c r="E198" s="92">
        <f>IF(Table_1[[#This Row],[Column1]]&lt;='Buy Vs Rent Calculator'!$D$13*12,-IPMT('Buy Vs Rent Calculator'!$D$12/12,Table_1[[#This Row],[Column1]],'Buy Vs Rent Calculator'!$D$13*12,'Buy Vs Rent Calculator'!$D$21),0)</f>
        <v>19600.888063603699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2:16" ht="14.25" customHeight="1" x14ac:dyDescent="0.2">
      <c r="B199" s="91">
        <v>195</v>
      </c>
      <c r="C199" s="92">
        <f>IF(Table_1[[#This Row],[Column1]]&lt;='Buy Vs Rent Calculator'!$D$13*12,'Buy Vs Rent Calculator'!$D$22,0)</f>
        <v>69425.85866924272</v>
      </c>
      <c r="D199" s="92">
        <f>IF(Table_1[[#This Row],[Column1]]&lt;='Buy Vs Rent Calculator'!$D$13*12,-PPMT('Buy Vs Rent Calculator'!$D$12/12,Table_1[[#This Row],[Column1]],'Buy Vs Rent Calculator'!$D$13*12,'Buy Vs Rent Calculator'!$D$21),0)</f>
        <v>50177.897480762294</v>
      </c>
      <c r="E199" s="92">
        <f>IF(Table_1[[#This Row],[Column1]]&lt;='Buy Vs Rent Calculator'!$D$13*12,-IPMT('Buy Vs Rent Calculator'!$D$12/12,Table_1[[#This Row],[Column1]],'Buy Vs Rent Calculator'!$D$13*12,'Buy Vs Rent Calculator'!$D$21),0)</f>
        <v>19247.961188480429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2:16" ht="14.25" customHeight="1" x14ac:dyDescent="0.2">
      <c r="B200" s="91">
        <v>196</v>
      </c>
      <c r="C200" s="92">
        <f>IF(Table_1[[#This Row],[Column1]]&lt;='Buy Vs Rent Calculator'!$D$13*12,'Buy Vs Rent Calculator'!$D$22,0)</f>
        <v>69425.85866924272</v>
      </c>
      <c r="D200" s="92">
        <f>IF(Table_1[[#This Row],[Column1]]&lt;='Buy Vs Rent Calculator'!$D$13*12,-PPMT('Buy Vs Rent Calculator'!$D$12/12,Table_1[[#This Row],[Column1]],'Buy Vs Rent Calculator'!$D$13*12,'Buy Vs Rent Calculator'!$D$21),0)</f>
        <v>50533.32425458436</v>
      </c>
      <c r="E200" s="92">
        <f>IF(Table_1[[#This Row],[Column1]]&lt;='Buy Vs Rent Calculator'!$D$13*12,-IPMT('Buy Vs Rent Calculator'!$D$12/12,Table_1[[#This Row],[Column1]],'Buy Vs Rent Calculator'!$D$13*12,'Buy Vs Rent Calculator'!$D$21),0)</f>
        <v>18892.534414658359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2:16" ht="14.25" customHeight="1" x14ac:dyDescent="0.2">
      <c r="B201" s="91">
        <v>197</v>
      </c>
      <c r="C201" s="92">
        <f>IF(Table_1[[#This Row],[Column1]]&lt;='Buy Vs Rent Calculator'!$D$13*12,'Buy Vs Rent Calculator'!$D$22,0)</f>
        <v>69425.85866924272</v>
      </c>
      <c r="D201" s="92">
        <f>IF(Table_1[[#This Row],[Column1]]&lt;='Buy Vs Rent Calculator'!$D$13*12,-PPMT('Buy Vs Rent Calculator'!$D$12/12,Table_1[[#This Row],[Column1]],'Buy Vs Rent Calculator'!$D$13*12,'Buy Vs Rent Calculator'!$D$21),0)</f>
        <v>50891.268634721004</v>
      </c>
      <c r="E201" s="92">
        <f>IF(Table_1[[#This Row],[Column1]]&lt;='Buy Vs Rent Calculator'!$D$13*12,-IPMT('Buy Vs Rent Calculator'!$D$12/12,Table_1[[#This Row],[Column1]],'Buy Vs Rent Calculator'!$D$13*12,'Buy Vs Rent Calculator'!$D$21),0)</f>
        <v>18534.590034521716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2:16" ht="14.25" customHeight="1" x14ac:dyDescent="0.2">
      <c r="B202" s="91">
        <v>198</v>
      </c>
      <c r="C202" s="92">
        <f>IF(Table_1[[#This Row],[Column1]]&lt;='Buy Vs Rent Calculator'!$D$13*12,'Buy Vs Rent Calculator'!$D$22,0)</f>
        <v>69425.85866924272</v>
      </c>
      <c r="D202" s="92">
        <f>IF(Table_1[[#This Row],[Column1]]&lt;='Buy Vs Rent Calculator'!$D$13*12,-PPMT('Buy Vs Rent Calculator'!$D$12/12,Table_1[[#This Row],[Column1]],'Buy Vs Rent Calculator'!$D$13*12,'Buy Vs Rent Calculator'!$D$21),0)</f>
        <v>51251.74845421694</v>
      </c>
      <c r="E202" s="92">
        <f>IF(Table_1[[#This Row],[Column1]]&lt;='Buy Vs Rent Calculator'!$D$13*12,-IPMT('Buy Vs Rent Calculator'!$D$12/12,Table_1[[#This Row],[Column1]],'Buy Vs Rent Calculator'!$D$13*12,'Buy Vs Rent Calculator'!$D$21),0)</f>
        <v>18174.110215025783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2:16" ht="14.25" customHeight="1" x14ac:dyDescent="0.2">
      <c r="B203" s="91">
        <v>199</v>
      </c>
      <c r="C203" s="92">
        <f>IF(Table_1[[#This Row],[Column1]]&lt;='Buy Vs Rent Calculator'!$D$13*12,'Buy Vs Rent Calculator'!$D$22,0)</f>
        <v>69425.85866924272</v>
      </c>
      <c r="D203" s="92">
        <f>IF(Table_1[[#This Row],[Column1]]&lt;='Buy Vs Rent Calculator'!$D$13*12,-PPMT('Buy Vs Rent Calculator'!$D$12/12,Table_1[[#This Row],[Column1]],'Buy Vs Rent Calculator'!$D$13*12,'Buy Vs Rent Calculator'!$D$21),0)</f>
        <v>51614.781672434314</v>
      </c>
      <c r="E203" s="92">
        <f>IF(Table_1[[#This Row],[Column1]]&lt;='Buy Vs Rent Calculator'!$D$13*12,-IPMT('Buy Vs Rent Calculator'!$D$12/12,Table_1[[#This Row],[Column1]],'Buy Vs Rent Calculator'!$D$13*12,'Buy Vs Rent Calculator'!$D$21),0)</f>
        <v>17811.076996808406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2:16" ht="14.25" customHeight="1" x14ac:dyDescent="0.2">
      <c r="B204" s="91">
        <v>200</v>
      </c>
      <c r="C204" s="92">
        <f>IF(Table_1[[#This Row],[Column1]]&lt;='Buy Vs Rent Calculator'!$D$13*12,'Buy Vs Rent Calculator'!$D$22,0)</f>
        <v>69425.85866924272</v>
      </c>
      <c r="D204" s="92">
        <f>IF(Table_1[[#This Row],[Column1]]&lt;='Buy Vs Rent Calculator'!$D$13*12,-PPMT('Buy Vs Rent Calculator'!$D$12/12,Table_1[[#This Row],[Column1]],'Buy Vs Rent Calculator'!$D$13*12,'Buy Vs Rent Calculator'!$D$21),0)</f>
        <v>51980.386375947382</v>
      </c>
      <c r="E204" s="92">
        <f>IF(Table_1[[#This Row],[Column1]]&lt;='Buy Vs Rent Calculator'!$D$13*12,-IPMT('Buy Vs Rent Calculator'!$D$12/12,Table_1[[#This Row],[Column1]],'Buy Vs Rent Calculator'!$D$13*12,'Buy Vs Rent Calculator'!$D$21),0)</f>
        <v>17445.47229329533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2:16" ht="14.25" customHeight="1" x14ac:dyDescent="0.2">
      <c r="B205" s="91">
        <v>201</v>
      </c>
      <c r="C205" s="92">
        <f>IF(Table_1[[#This Row],[Column1]]&lt;='Buy Vs Rent Calculator'!$D$13*12,'Buy Vs Rent Calculator'!$D$22,0)</f>
        <v>69425.85866924272</v>
      </c>
      <c r="D205" s="92">
        <f>IF(Table_1[[#This Row],[Column1]]&lt;='Buy Vs Rent Calculator'!$D$13*12,-PPMT('Buy Vs Rent Calculator'!$D$12/12,Table_1[[#This Row],[Column1]],'Buy Vs Rent Calculator'!$D$13*12,'Buy Vs Rent Calculator'!$D$21),0)</f>
        <v>52348.580779443677</v>
      </c>
      <c r="E205" s="92">
        <f>IF(Table_1[[#This Row],[Column1]]&lt;='Buy Vs Rent Calculator'!$D$13*12,-IPMT('Buy Vs Rent Calculator'!$D$12/12,Table_1[[#This Row],[Column1]],'Buy Vs Rent Calculator'!$D$13*12,'Buy Vs Rent Calculator'!$D$21),0)</f>
        <v>17077.277889799039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2:16" ht="14.25" customHeight="1" x14ac:dyDescent="0.2">
      <c r="B206" s="91">
        <v>202</v>
      </c>
      <c r="C206" s="92">
        <f>IF(Table_1[[#This Row],[Column1]]&lt;='Buy Vs Rent Calculator'!$D$13*12,'Buy Vs Rent Calculator'!$D$22,0)</f>
        <v>69425.85866924272</v>
      </c>
      <c r="D206" s="92">
        <f>IF(Table_1[[#This Row],[Column1]]&lt;='Buy Vs Rent Calculator'!$D$13*12,-PPMT('Buy Vs Rent Calculator'!$D$12/12,Table_1[[#This Row],[Column1]],'Buy Vs Rent Calculator'!$D$13*12,'Buy Vs Rent Calculator'!$D$21),0)</f>
        <v>52719.383226631406</v>
      </c>
      <c r="E206" s="92">
        <f>IF(Table_1[[#This Row],[Column1]]&lt;='Buy Vs Rent Calculator'!$D$13*12,-IPMT('Buy Vs Rent Calculator'!$D$12/12,Table_1[[#This Row],[Column1]],'Buy Vs Rent Calculator'!$D$13*12,'Buy Vs Rent Calculator'!$D$21),0)</f>
        <v>16706.47544261131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2:16" ht="14.25" customHeight="1" x14ac:dyDescent="0.2">
      <c r="B207" s="91">
        <v>203</v>
      </c>
      <c r="C207" s="92">
        <f>IF(Table_1[[#This Row],[Column1]]&lt;='Buy Vs Rent Calculator'!$D$13*12,'Buy Vs Rent Calculator'!$D$22,0)</f>
        <v>69425.85866924272</v>
      </c>
      <c r="D207" s="92">
        <f>IF(Table_1[[#This Row],[Column1]]&lt;='Buy Vs Rent Calculator'!$D$13*12,-PPMT('Buy Vs Rent Calculator'!$D$12/12,Table_1[[#This Row],[Column1]],'Buy Vs Rent Calculator'!$D$13*12,'Buy Vs Rent Calculator'!$D$21),0)</f>
        <v>53092.812191153382</v>
      </c>
      <c r="E207" s="92">
        <f>IF(Table_1[[#This Row],[Column1]]&lt;='Buy Vs Rent Calculator'!$D$13*12,-IPMT('Buy Vs Rent Calculator'!$D$12/12,Table_1[[#This Row],[Column1]],'Buy Vs Rent Calculator'!$D$13*12,'Buy Vs Rent Calculator'!$D$21),0)</f>
        <v>16333.046478089342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2:16" ht="14.25" customHeight="1" x14ac:dyDescent="0.2">
      <c r="B208" s="91">
        <v>204</v>
      </c>
      <c r="C208" s="92">
        <f>IF(Table_1[[#This Row],[Column1]]&lt;='Buy Vs Rent Calculator'!$D$13*12,'Buy Vs Rent Calculator'!$D$22,0)</f>
        <v>69425.85866924272</v>
      </c>
      <c r="D208" s="92">
        <f>IF(Table_1[[#This Row],[Column1]]&lt;='Buy Vs Rent Calculator'!$D$13*12,-PPMT('Buy Vs Rent Calculator'!$D$12/12,Table_1[[#This Row],[Column1]],'Buy Vs Rent Calculator'!$D$13*12,'Buy Vs Rent Calculator'!$D$21),0)</f>
        <v>53468.886277507387</v>
      </c>
      <c r="E208" s="92">
        <f>IF(Table_1[[#This Row],[Column1]]&lt;='Buy Vs Rent Calculator'!$D$13*12,-IPMT('Buy Vs Rent Calculator'!$D$12/12,Table_1[[#This Row],[Column1]],'Buy Vs Rent Calculator'!$D$13*12,'Buy Vs Rent Calculator'!$D$21),0)</f>
        <v>15956.972391735335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2:16" ht="14.25" customHeight="1" x14ac:dyDescent="0.2">
      <c r="B209" s="91">
        <v>205</v>
      </c>
      <c r="C209" s="92">
        <f>IF(Table_1[[#This Row],[Column1]]&lt;='Buy Vs Rent Calculator'!$D$13*12,'Buy Vs Rent Calculator'!$D$22,0)</f>
        <v>69425.85866924272</v>
      </c>
      <c r="D209" s="92">
        <f>IF(Table_1[[#This Row],[Column1]]&lt;='Buy Vs Rent Calculator'!$D$13*12,-PPMT('Buy Vs Rent Calculator'!$D$12/12,Table_1[[#This Row],[Column1]],'Buy Vs Rent Calculator'!$D$13*12,'Buy Vs Rent Calculator'!$D$21),0)</f>
        <v>53847.624221973063</v>
      </c>
      <c r="E209" s="92">
        <f>IF(Table_1[[#This Row],[Column1]]&lt;='Buy Vs Rent Calculator'!$D$13*12,-IPMT('Buy Vs Rent Calculator'!$D$12/12,Table_1[[#This Row],[Column1]],'Buy Vs Rent Calculator'!$D$13*12,'Buy Vs Rent Calculator'!$D$21),0)</f>
        <v>15578.23444726966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2:16" ht="14.25" customHeight="1" x14ac:dyDescent="0.2">
      <c r="B210" s="91">
        <v>206</v>
      </c>
      <c r="C210" s="92">
        <f>IF(Table_1[[#This Row],[Column1]]&lt;='Buy Vs Rent Calculator'!$D$13*12,'Buy Vs Rent Calculator'!$D$22,0)</f>
        <v>69425.85866924272</v>
      </c>
      <c r="D210" s="92">
        <f>IF(Table_1[[#This Row],[Column1]]&lt;='Buy Vs Rent Calculator'!$D$13*12,-PPMT('Buy Vs Rent Calculator'!$D$12/12,Table_1[[#This Row],[Column1]],'Buy Vs Rent Calculator'!$D$13*12,'Buy Vs Rent Calculator'!$D$21),0)</f>
        <v>54229.044893545361</v>
      </c>
      <c r="E210" s="92">
        <f>IF(Table_1[[#This Row],[Column1]]&lt;='Buy Vs Rent Calculator'!$D$13*12,-IPMT('Buy Vs Rent Calculator'!$D$12/12,Table_1[[#This Row],[Column1]],'Buy Vs Rent Calculator'!$D$13*12,'Buy Vs Rent Calculator'!$D$21),0)</f>
        <v>15196.81377569735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2:16" ht="14.25" customHeight="1" x14ac:dyDescent="0.2">
      <c r="B211" s="91">
        <v>207</v>
      </c>
      <c r="C211" s="92">
        <f>IF(Table_1[[#This Row],[Column1]]&lt;='Buy Vs Rent Calculator'!$D$13*12,'Buy Vs Rent Calculator'!$D$22,0)</f>
        <v>69425.85866924272</v>
      </c>
      <c r="D211" s="92">
        <f>IF(Table_1[[#This Row],[Column1]]&lt;='Buy Vs Rent Calculator'!$D$13*12,-PPMT('Buy Vs Rent Calculator'!$D$12/12,Table_1[[#This Row],[Column1]],'Buy Vs Rent Calculator'!$D$13*12,'Buy Vs Rent Calculator'!$D$21),0)</f>
        <v>54613.167294874649</v>
      </c>
      <c r="E211" s="92">
        <f>IF(Table_1[[#This Row],[Column1]]&lt;='Buy Vs Rent Calculator'!$D$13*12,-IPMT('Buy Vs Rent Calculator'!$D$12/12,Table_1[[#This Row],[Column1]],'Buy Vs Rent Calculator'!$D$13*12,'Buy Vs Rent Calculator'!$D$21),0)</f>
        <v>14812.691374368073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2:16" ht="14.25" customHeight="1" x14ac:dyDescent="0.2">
      <c r="B212" s="91">
        <v>208</v>
      </c>
      <c r="C212" s="92">
        <f>IF(Table_1[[#This Row],[Column1]]&lt;='Buy Vs Rent Calculator'!$D$13*12,'Buy Vs Rent Calculator'!$D$22,0)</f>
        <v>69425.85866924272</v>
      </c>
      <c r="D212" s="92">
        <f>IF(Table_1[[#This Row],[Column1]]&lt;='Buy Vs Rent Calculator'!$D$13*12,-PPMT('Buy Vs Rent Calculator'!$D$12/12,Table_1[[#This Row],[Column1]],'Buy Vs Rent Calculator'!$D$13*12,'Buy Vs Rent Calculator'!$D$21),0)</f>
        <v>55000.010563213335</v>
      </c>
      <c r="E212" s="92">
        <f>IF(Table_1[[#This Row],[Column1]]&lt;='Buy Vs Rent Calculator'!$D$13*12,-IPMT('Buy Vs Rent Calculator'!$D$12/12,Table_1[[#This Row],[Column1]],'Buy Vs Rent Calculator'!$D$13*12,'Buy Vs Rent Calculator'!$D$21),0)</f>
        <v>14425.848106029376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2:16" ht="14.25" customHeight="1" x14ac:dyDescent="0.2">
      <c r="B213" s="91">
        <v>209</v>
      </c>
      <c r="C213" s="92">
        <f>IF(Table_1[[#This Row],[Column1]]&lt;='Buy Vs Rent Calculator'!$D$13*12,'Buy Vs Rent Calculator'!$D$22,0)</f>
        <v>69425.85866924272</v>
      </c>
      <c r="D213" s="92">
        <f>IF(Table_1[[#This Row],[Column1]]&lt;='Buy Vs Rent Calculator'!$D$13*12,-PPMT('Buy Vs Rent Calculator'!$D$12/12,Table_1[[#This Row],[Column1]],'Buy Vs Rent Calculator'!$D$13*12,'Buy Vs Rent Calculator'!$D$21),0)</f>
        <v>55389.593971369439</v>
      </c>
      <c r="E213" s="92">
        <f>IF(Table_1[[#This Row],[Column1]]&lt;='Buy Vs Rent Calculator'!$D$13*12,-IPMT('Buy Vs Rent Calculator'!$D$12/12,Table_1[[#This Row],[Column1]],'Buy Vs Rent Calculator'!$D$13*12,'Buy Vs Rent Calculator'!$D$21),0)</f>
        <v>14036.264697873283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2:16" ht="14.25" customHeight="1" x14ac:dyDescent="0.2">
      <c r="B214" s="91">
        <v>210</v>
      </c>
      <c r="C214" s="92">
        <f>IF(Table_1[[#This Row],[Column1]]&lt;='Buy Vs Rent Calculator'!$D$13*12,'Buy Vs Rent Calculator'!$D$22,0)</f>
        <v>69425.85866924272</v>
      </c>
      <c r="D214" s="92">
        <f>IF(Table_1[[#This Row],[Column1]]&lt;='Buy Vs Rent Calculator'!$D$13*12,-PPMT('Buy Vs Rent Calculator'!$D$12/12,Table_1[[#This Row],[Column1]],'Buy Vs Rent Calculator'!$D$13*12,'Buy Vs Rent Calculator'!$D$21),0)</f>
        <v>55781.936928666641</v>
      </c>
      <c r="E214" s="92">
        <f>IF(Table_1[[#This Row],[Column1]]&lt;='Buy Vs Rent Calculator'!$D$13*12,-IPMT('Buy Vs Rent Calculator'!$D$12/12,Table_1[[#This Row],[Column1]],'Buy Vs Rent Calculator'!$D$13*12,'Buy Vs Rent Calculator'!$D$21),0)</f>
        <v>13643.921740576081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2:16" ht="14.25" customHeight="1" x14ac:dyDescent="0.2">
      <c r="B215" s="91">
        <v>211</v>
      </c>
      <c r="C215" s="92">
        <f>IF(Table_1[[#This Row],[Column1]]&lt;='Buy Vs Rent Calculator'!$D$13*12,'Buy Vs Rent Calculator'!$D$22,0)</f>
        <v>69425.85866924272</v>
      </c>
      <c r="D215" s="92">
        <f>IF(Table_1[[#This Row],[Column1]]&lt;='Buy Vs Rent Calculator'!$D$13*12,-PPMT('Buy Vs Rent Calculator'!$D$12/12,Table_1[[#This Row],[Column1]],'Buy Vs Rent Calculator'!$D$13*12,'Buy Vs Rent Calculator'!$D$21),0)</f>
        <v>56177.058981911359</v>
      </c>
      <c r="E215" s="92">
        <f>IF(Table_1[[#This Row],[Column1]]&lt;='Buy Vs Rent Calculator'!$D$13*12,-IPMT('Buy Vs Rent Calculator'!$D$12/12,Table_1[[#This Row],[Column1]],'Buy Vs Rent Calculator'!$D$13*12,'Buy Vs Rent Calculator'!$D$21),0)</f>
        <v>13248.799687331359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2:16" ht="14.25" customHeight="1" x14ac:dyDescent="0.2">
      <c r="B216" s="91">
        <v>212</v>
      </c>
      <c r="C216" s="92">
        <f>IF(Table_1[[#This Row],[Column1]]&lt;='Buy Vs Rent Calculator'!$D$13*12,'Buy Vs Rent Calculator'!$D$22,0)</f>
        <v>69425.85866924272</v>
      </c>
      <c r="D216" s="92">
        <f>IF(Table_1[[#This Row],[Column1]]&lt;='Buy Vs Rent Calculator'!$D$13*12,-PPMT('Buy Vs Rent Calculator'!$D$12/12,Table_1[[#This Row],[Column1]],'Buy Vs Rent Calculator'!$D$13*12,'Buy Vs Rent Calculator'!$D$21),0)</f>
        <v>56574.979816366562</v>
      </c>
      <c r="E216" s="92">
        <f>IF(Table_1[[#This Row],[Column1]]&lt;='Buy Vs Rent Calculator'!$D$13*12,-IPMT('Buy Vs Rent Calculator'!$D$12/12,Table_1[[#This Row],[Column1]],'Buy Vs Rent Calculator'!$D$13*12,'Buy Vs Rent Calculator'!$D$21),0)</f>
        <v>12850.878852876154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2:16" ht="14.25" customHeight="1" x14ac:dyDescent="0.2">
      <c r="B217" s="91">
        <v>213</v>
      </c>
      <c r="C217" s="92">
        <f>IF(Table_1[[#This Row],[Column1]]&lt;='Buy Vs Rent Calculator'!$D$13*12,'Buy Vs Rent Calculator'!$D$22,0)</f>
        <v>69425.85866924272</v>
      </c>
      <c r="D217" s="92">
        <f>IF(Table_1[[#This Row],[Column1]]&lt;='Buy Vs Rent Calculator'!$D$13*12,-PPMT('Buy Vs Rent Calculator'!$D$12/12,Table_1[[#This Row],[Column1]],'Buy Vs Rent Calculator'!$D$13*12,'Buy Vs Rent Calculator'!$D$21),0)</f>
        <v>56975.719256732496</v>
      </c>
      <c r="E217" s="92">
        <f>IF(Table_1[[#This Row],[Column1]]&lt;='Buy Vs Rent Calculator'!$D$13*12,-IPMT('Buy Vs Rent Calculator'!$D$12/12,Table_1[[#This Row],[Column1]],'Buy Vs Rent Calculator'!$D$13*12,'Buy Vs Rent Calculator'!$D$21),0)</f>
        <v>12450.139412510223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2:16" ht="14.25" customHeight="1" x14ac:dyDescent="0.2">
      <c r="B218" s="91">
        <v>214</v>
      </c>
      <c r="C218" s="92">
        <f>IF(Table_1[[#This Row],[Column1]]&lt;='Buy Vs Rent Calculator'!$D$13*12,'Buy Vs Rent Calculator'!$D$22,0)</f>
        <v>69425.85866924272</v>
      </c>
      <c r="D218" s="92">
        <f>IF(Table_1[[#This Row],[Column1]]&lt;='Buy Vs Rent Calculator'!$D$13*12,-PPMT('Buy Vs Rent Calculator'!$D$12/12,Table_1[[#This Row],[Column1]],'Buy Vs Rent Calculator'!$D$13*12,'Buy Vs Rent Calculator'!$D$21),0)</f>
        <v>57379.297268134353</v>
      </c>
      <c r="E218" s="92">
        <f>IF(Table_1[[#This Row],[Column1]]&lt;='Buy Vs Rent Calculator'!$D$13*12,-IPMT('Buy Vs Rent Calculator'!$D$12/12,Table_1[[#This Row],[Column1]],'Buy Vs Rent Calculator'!$D$13*12,'Buy Vs Rent Calculator'!$D$21),0)</f>
        <v>12046.561401108369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2:16" ht="14.25" customHeight="1" x14ac:dyDescent="0.2">
      <c r="B219" s="91">
        <v>215</v>
      </c>
      <c r="C219" s="92">
        <f>IF(Table_1[[#This Row],[Column1]]&lt;='Buy Vs Rent Calculator'!$D$13*12,'Buy Vs Rent Calculator'!$D$22,0)</f>
        <v>69425.85866924272</v>
      </c>
      <c r="D219" s="92">
        <f>IF(Table_1[[#This Row],[Column1]]&lt;='Buy Vs Rent Calculator'!$D$13*12,-PPMT('Buy Vs Rent Calculator'!$D$12/12,Table_1[[#This Row],[Column1]],'Buy Vs Rent Calculator'!$D$13*12,'Buy Vs Rent Calculator'!$D$21),0)</f>
        <v>57785.733957116972</v>
      </c>
      <c r="E219" s="92">
        <f>IF(Table_1[[#This Row],[Column1]]&lt;='Buy Vs Rent Calculator'!$D$13*12,-IPMT('Buy Vs Rent Calculator'!$D$12/12,Table_1[[#This Row],[Column1]],'Buy Vs Rent Calculator'!$D$13*12,'Buy Vs Rent Calculator'!$D$21),0)</f>
        <v>11640.124712125751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2:16" ht="14.25" customHeight="1" x14ac:dyDescent="0.2">
      <c r="B220" s="91">
        <v>216</v>
      </c>
      <c r="C220" s="92">
        <f>IF(Table_1[[#This Row],[Column1]]&lt;='Buy Vs Rent Calculator'!$D$13*12,'Buy Vs Rent Calculator'!$D$22,0)</f>
        <v>69425.85866924272</v>
      </c>
      <c r="D220" s="92">
        <f>IF(Table_1[[#This Row],[Column1]]&lt;='Buy Vs Rent Calculator'!$D$13*12,-PPMT('Buy Vs Rent Calculator'!$D$12/12,Table_1[[#This Row],[Column1]],'Buy Vs Rent Calculator'!$D$13*12,'Buy Vs Rent Calculator'!$D$21),0)</f>
        <v>58195.049572646545</v>
      </c>
      <c r="E220" s="92">
        <f>IF(Table_1[[#This Row],[Column1]]&lt;='Buy Vs Rent Calculator'!$D$13*12,-IPMT('Buy Vs Rent Calculator'!$D$12/12,Table_1[[#This Row],[Column1]],'Buy Vs Rent Calculator'!$D$13*12,'Buy Vs Rent Calculator'!$D$21),0)</f>
        <v>11230.809096596173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2:16" ht="14.25" customHeight="1" x14ac:dyDescent="0.2">
      <c r="B221" s="91">
        <v>217</v>
      </c>
      <c r="C221" s="92">
        <f>IF(Table_1[[#This Row],[Column1]]&lt;='Buy Vs Rent Calculator'!$D$13*12,'Buy Vs Rent Calculator'!$D$22,0)</f>
        <v>69425.85866924272</v>
      </c>
      <c r="D221" s="92">
        <f>IF(Table_1[[#This Row],[Column1]]&lt;='Buy Vs Rent Calculator'!$D$13*12,-PPMT('Buy Vs Rent Calculator'!$D$12/12,Table_1[[#This Row],[Column1]],'Buy Vs Rent Calculator'!$D$13*12,'Buy Vs Rent Calculator'!$D$21),0)</f>
        <v>58607.264507119464</v>
      </c>
      <c r="E221" s="92">
        <f>IF(Table_1[[#This Row],[Column1]]&lt;='Buy Vs Rent Calculator'!$D$13*12,-IPMT('Buy Vs Rent Calculator'!$D$12/12,Table_1[[#This Row],[Column1]],'Buy Vs Rent Calculator'!$D$13*12,'Buy Vs Rent Calculator'!$D$21),0)</f>
        <v>10818.594162123261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2:16" ht="14.25" customHeight="1" x14ac:dyDescent="0.2">
      <c r="B222" s="91">
        <v>218</v>
      </c>
      <c r="C222" s="92">
        <f>IF(Table_1[[#This Row],[Column1]]&lt;='Buy Vs Rent Calculator'!$D$13*12,'Buy Vs Rent Calculator'!$D$22,0)</f>
        <v>69425.85866924272</v>
      </c>
      <c r="D222" s="92">
        <f>IF(Table_1[[#This Row],[Column1]]&lt;='Buy Vs Rent Calculator'!$D$13*12,-PPMT('Buy Vs Rent Calculator'!$D$12/12,Table_1[[#This Row],[Column1]],'Buy Vs Rent Calculator'!$D$13*12,'Buy Vs Rent Calculator'!$D$21),0)</f>
        <v>59022.399297378222</v>
      </c>
      <c r="E222" s="92">
        <f>IF(Table_1[[#This Row],[Column1]]&lt;='Buy Vs Rent Calculator'!$D$13*12,-IPMT('Buy Vs Rent Calculator'!$D$12/12,Table_1[[#This Row],[Column1]],'Buy Vs Rent Calculator'!$D$13*12,'Buy Vs Rent Calculator'!$D$21),0)</f>
        <v>10403.459371864497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2:16" ht="14.25" customHeight="1" x14ac:dyDescent="0.2">
      <c r="B223" s="91">
        <v>219</v>
      </c>
      <c r="C223" s="92">
        <f>IF(Table_1[[#This Row],[Column1]]&lt;='Buy Vs Rent Calculator'!$D$13*12,'Buy Vs Rent Calculator'!$D$22,0)</f>
        <v>69425.85866924272</v>
      </c>
      <c r="D223" s="92">
        <f>IF(Table_1[[#This Row],[Column1]]&lt;='Buy Vs Rent Calculator'!$D$13*12,-PPMT('Buy Vs Rent Calculator'!$D$12/12,Table_1[[#This Row],[Column1]],'Buy Vs Rent Calculator'!$D$13*12,'Buy Vs Rent Calculator'!$D$21),0)</f>
        <v>59440.474625734656</v>
      </c>
      <c r="E223" s="92">
        <f>IF(Table_1[[#This Row],[Column1]]&lt;='Buy Vs Rent Calculator'!$D$13*12,-IPMT('Buy Vs Rent Calculator'!$D$12/12,Table_1[[#This Row],[Column1]],'Buy Vs Rent Calculator'!$D$13*12,'Buy Vs Rent Calculator'!$D$21),0)</f>
        <v>9985.3840435080674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2:16" ht="14.25" customHeight="1" x14ac:dyDescent="0.2">
      <c r="B224" s="91">
        <v>220</v>
      </c>
      <c r="C224" s="92">
        <f>IF(Table_1[[#This Row],[Column1]]&lt;='Buy Vs Rent Calculator'!$D$13*12,'Buy Vs Rent Calculator'!$D$22,0)</f>
        <v>69425.85866924272</v>
      </c>
      <c r="D224" s="92">
        <f>IF(Table_1[[#This Row],[Column1]]&lt;='Buy Vs Rent Calculator'!$D$13*12,-PPMT('Buy Vs Rent Calculator'!$D$12/12,Table_1[[#This Row],[Column1]],'Buy Vs Rent Calculator'!$D$13*12,'Buy Vs Rent Calculator'!$D$21),0)</f>
        <v>59861.511321000275</v>
      </c>
      <c r="E224" s="92">
        <f>IF(Table_1[[#This Row],[Column1]]&lt;='Buy Vs Rent Calculator'!$D$13*12,-IPMT('Buy Vs Rent Calculator'!$D$12/12,Table_1[[#This Row],[Column1]],'Buy Vs Rent Calculator'!$D$13*12,'Buy Vs Rent Calculator'!$D$21),0)</f>
        <v>9564.347348242447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2:16" ht="14.25" customHeight="1" x14ac:dyDescent="0.2">
      <c r="B225" s="91">
        <v>221</v>
      </c>
      <c r="C225" s="92">
        <f>IF(Table_1[[#This Row],[Column1]]&lt;='Buy Vs Rent Calculator'!$D$13*12,'Buy Vs Rent Calculator'!$D$22,0)</f>
        <v>69425.85866924272</v>
      </c>
      <c r="D225" s="92">
        <f>IF(Table_1[[#This Row],[Column1]]&lt;='Buy Vs Rent Calculator'!$D$13*12,-PPMT('Buy Vs Rent Calculator'!$D$12/12,Table_1[[#This Row],[Column1]],'Buy Vs Rent Calculator'!$D$13*12,'Buy Vs Rent Calculator'!$D$21),0)</f>
        <v>60285.530359524018</v>
      </c>
      <c r="E225" s="92">
        <f>IF(Table_1[[#This Row],[Column1]]&lt;='Buy Vs Rent Calculator'!$D$13*12,-IPMT('Buy Vs Rent Calculator'!$D$12/12,Table_1[[#This Row],[Column1]],'Buy Vs Rent Calculator'!$D$13*12,'Buy Vs Rent Calculator'!$D$21),0)</f>
        <v>9140.3283097186959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2:16" ht="14.25" customHeight="1" x14ac:dyDescent="0.2">
      <c r="B226" s="91">
        <v>222</v>
      </c>
      <c r="C226" s="92">
        <f>IF(Table_1[[#This Row],[Column1]]&lt;='Buy Vs Rent Calculator'!$D$13*12,'Buy Vs Rent Calculator'!$D$22,0)</f>
        <v>69425.85866924272</v>
      </c>
      <c r="D226" s="92">
        <f>IF(Table_1[[#This Row],[Column1]]&lt;='Buy Vs Rent Calculator'!$D$13*12,-PPMT('Buy Vs Rent Calculator'!$D$12/12,Table_1[[#This Row],[Column1]],'Buy Vs Rent Calculator'!$D$13*12,'Buy Vs Rent Calculator'!$D$21),0)</f>
        <v>60712.552866237318</v>
      </c>
      <c r="E226" s="92">
        <f>IF(Table_1[[#This Row],[Column1]]&lt;='Buy Vs Rent Calculator'!$D$13*12,-IPMT('Buy Vs Rent Calculator'!$D$12/12,Table_1[[#This Row],[Column1]],'Buy Vs Rent Calculator'!$D$13*12,'Buy Vs Rent Calculator'!$D$21),0)</f>
        <v>8713.3058030053999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2:16" ht="14.25" customHeight="1" x14ac:dyDescent="0.2">
      <c r="B227" s="91">
        <v>223</v>
      </c>
      <c r="C227" s="92">
        <f>IF(Table_1[[#This Row],[Column1]]&lt;='Buy Vs Rent Calculator'!$D$13*12,'Buy Vs Rent Calculator'!$D$22,0)</f>
        <v>69425.85866924272</v>
      </c>
      <c r="D227" s="92">
        <f>IF(Table_1[[#This Row],[Column1]]&lt;='Buy Vs Rent Calculator'!$D$13*12,-PPMT('Buy Vs Rent Calculator'!$D$12/12,Table_1[[#This Row],[Column1]],'Buy Vs Rent Calculator'!$D$13*12,'Buy Vs Rent Calculator'!$D$21),0)</f>
        <v>61142.600115706497</v>
      </c>
      <c r="E227" s="92">
        <f>IF(Table_1[[#This Row],[Column1]]&lt;='Buy Vs Rent Calculator'!$D$13*12,-IPMT('Buy Vs Rent Calculator'!$D$12/12,Table_1[[#This Row],[Column1]],'Buy Vs Rent Calculator'!$D$13*12,'Buy Vs Rent Calculator'!$D$21),0)</f>
        <v>8283.2585535362196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2:16" ht="14.25" customHeight="1" x14ac:dyDescent="0.2">
      <c r="B228" s="91">
        <v>224</v>
      </c>
      <c r="C228" s="92">
        <f>IF(Table_1[[#This Row],[Column1]]&lt;='Buy Vs Rent Calculator'!$D$13*12,'Buy Vs Rent Calculator'!$D$22,0)</f>
        <v>69425.85866924272</v>
      </c>
      <c r="D228" s="92">
        <f>IF(Table_1[[#This Row],[Column1]]&lt;='Buy Vs Rent Calculator'!$D$13*12,-PPMT('Buy Vs Rent Calculator'!$D$12/12,Table_1[[#This Row],[Column1]],'Buy Vs Rent Calculator'!$D$13*12,'Buy Vs Rent Calculator'!$D$21),0)</f>
        <v>61575.69353319276</v>
      </c>
      <c r="E228" s="92">
        <f>IF(Table_1[[#This Row],[Column1]]&lt;='Buy Vs Rent Calculator'!$D$13*12,-IPMT('Buy Vs Rent Calculator'!$D$12/12,Table_1[[#This Row],[Column1]],'Buy Vs Rent Calculator'!$D$13*12,'Buy Vs Rent Calculator'!$D$21),0)</f>
        <v>7850.1651360499645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2:16" ht="14.25" customHeight="1" x14ac:dyDescent="0.2">
      <c r="B229" s="91">
        <v>225</v>
      </c>
      <c r="C229" s="92">
        <f>IF(Table_1[[#This Row],[Column1]]&lt;='Buy Vs Rent Calculator'!$D$13*12,'Buy Vs Rent Calculator'!$D$22,0)</f>
        <v>69425.85866924272</v>
      </c>
      <c r="D229" s="92">
        <f>IF(Table_1[[#This Row],[Column1]]&lt;='Buy Vs Rent Calculator'!$D$13*12,-PPMT('Buy Vs Rent Calculator'!$D$12/12,Table_1[[#This Row],[Column1]],'Buy Vs Rent Calculator'!$D$13*12,'Buy Vs Rent Calculator'!$D$21),0)</f>
        <v>62011.854695719543</v>
      </c>
      <c r="E229" s="92">
        <f>IF(Table_1[[#This Row],[Column1]]&lt;='Buy Vs Rent Calculator'!$D$13*12,-IPMT('Buy Vs Rent Calculator'!$D$12/12,Table_1[[#This Row],[Column1]],'Buy Vs Rent Calculator'!$D$13*12,'Buy Vs Rent Calculator'!$D$21),0)</f>
        <v>7414.003973523183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2:16" ht="14.25" customHeight="1" x14ac:dyDescent="0.2">
      <c r="B230" s="91">
        <v>226</v>
      </c>
      <c r="C230" s="92">
        <f>IF(Table_1[[#This Row],[Column1]]&lt;='Buy Vs Rent Calculator'!$D$13*12,'Buy Vs Rent Calculator'!$D$22,0)</f>
        <v>69425.85866924272</v>
      </c>
      <c r="D230" s="92">
        <f>IF(Table_1[[#This Row],[Column1]]&lt;='Buy Vs Rent Calculator'!$D$13*12,-PPMT('Buy Vs Rent Calculator'!$D$12/12,Table_1[[#This Row],[Column1]],'Buy Vs Rent Calculator'!$D$13*12,'Buy Vs Rent Calculator'!$D$21),0)</f>
        <v>62451.105333147556</v>
      </c>
      <c r="E230" s="92">
        <f>IF(Table_1[[#This Row],[Column1]]&lt;='Buy Vs Rent Calculator'!$D$13*12,-IPMT('Buy Vs Rent Calculator'!$D$12/12,Table_1[[#This Row],[Column1]],'Buy Vs Rent Calculator'!$D$13*12,'Buy Vs Rent Calculator'!$D$21),0)</f>
        <v>6974.7533360951693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2:16" ht="14.25" customHeight="1" x14ac:dyDescent="0.2">
      <c r="B231" s="91">
        <v>227</v>
      </c>
      <c r="C231" s="92">
        <f>IF(Table_1[[#This Row],[Column1]]&lt;='Buy Vs Rent Calculator'!$D$13*12,'Buy Vs Rent Calculator'!$D$22,0)</f>
        <v>69425.85866924272</v>
      </c>
      <c r="D231" s="92">
        <f>IF(Table_1[[#This Row],[Column1]]&lt;='Buy Vs Rent Calculator'!$D$13*12,-PPMT('Buy Vs Rent Calculator'!$D$12/12,Table_1[[#This Row],[Column1]],'Buy Vs Rent Calculator'!$D$13*12,'Buy Vs Rent Calculator'!$D$21),0)</f>
        <v>62893.46732925735</v>
      </c>
      <c r="E231" s="92">
        <f>IF(Table_1[[#This Row],[Column1]]&lt;='Buy Vs Rent Calculator'!$D$13*12,-IPMT('Buy Vs Rent Calculator'!$D$12/12,Table_1[[#This Row],[Column1]],'Buy Vs Rent Calculator'!$D$13*12,'Buy Vs Rent Calculator'!$D$21),0)</f>
        <v>6532.3913399853745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2:16" ht="14.25" customHeight="1" x14ac:dyDescent="0.2">
      <c r="B232" s="91">
        <v>228</v>
      </c>
      <c r="C232" s="92">
        <f>IF(Table_1[[#This Row],[Column1]]&lt;='Buy Vs Rent Calculator'!$D$13*12,'Buy Vs Rent Calculator'!$D$22,0)</f>
        <v>69425.85866924272</v>
      </c>
      <c r="D232" s="92">
        <f>IF(Table_1[[#This Row],[Column1]]&lt;='Buy Vs Rent Calculator'!$D$13*12,-PPMT('Buy Vs Rent Calculator'!$D$12/12,Table_1[[#This Row],[Column1]],'Buy Vs Rent Calculator'!$D$13*12,'Buy Vs Rent Calculator'!$D$21),0)</f>
        <v>63338.962722839577</v>
      </c>
      <c r="E232" s="92">
        <f>IF(Table_1[[#This Row],[Column1]]&lt;='Buy Vs Rent Calculator'!$D$13*12,-IPMT('Buy Vs Rent Calculator'!$D$12/12,Table_1[[#This Row],[Column1]],'Buy Vs Rent Calculator'!$D$13*12,'Buy Vs Rent Calculator'!$D$21),0)</f>
        <v>6086.895946403135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2:16" ht="14.25" customHeight="1" x14ac:dyDescent="0.2">
      <c r="B233" s="91">
        <v>229</v>
      </c>
      <c r="C233" s="92">
        <f>IF(Table_1[[#This Row],[Column1]]&lt;='Buy Vs Rent Calculator'!$D$13*12,'Buy Vs Rent Calculator'!$D$22,0)</f>
        <v>69425.85866924272</v>
      </c>
      <c r="D233" s="92">
        <f>IF(Table_1[[#This Row],[Column1]]&lt;='Buy Vs Rent Calculator'!$D$13*12,-PPMT('Buy Vs Rent Calculator'!$D$12/12,Table_1[[#This Row],[Column1]],'Buy Vs Rent Calculator'!$D$13*12,'Buy Vs Rent Calculator'!$D$21),0)</f>
        <v>63787.613708793026</v>
      </c>
      <c r="E233" s="92">
        <f>IF(Table_1[[#This Row],[Column1]]&lt;='Buy Vs Rent Calculator'!$D$13*12,-IPMT('Buy Vs Rent Calculator'!$D$12/12,Table_1[[#This Row],[Column1]],'Buy Vs Rent Calculator'!$D$13*12,'Buy Vs Rent Calculator'!$D$21),0)</f>
        <v>5638.2449604496878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2:16" ht="14.25" customHeight="1" x14ac:dyDescent="0.2">
      <c r="B234" s="91">
        <v>230</v>
      </c>
      <c r="C234" s="92">
        <f>IF(Table_1[[#This Row],[Column1]]&lt;='Buy Vs Rent Calculator'!$D$13*12,'Buy Vs Rent Calculator'!$D$22,0)</f>
        <v>69425.85866924272</v>
      </c>
      <c r="D234" s="92">
        <f>IF(Table_1[[#This Row],[Column1]]&lt;='Buy Vs Rent Calculator'!$D$13*12,-PPMT('Buy Vs Rent Calculator'!$D$12/12,Table_1[[#This Row],[Column1]],'Buy Vs Rent Calculator'!$D$13*12,'Buy Vs Rent Calculator'!$D$21),0)</f>
        <v>64239.442639230321</v>
      </c>
      <c r="E234" s="92">
        <f>IF(Table_1[[#This Row],[Column1]]&lt;='Buy Vs Rent Calculator'!$D$13*12,-IPMT('Buy Vs Rent Calculator'!$D$12/12,Table_1[[#This Row],[Column1]],'Buy Vs Rent Calculator'!$D$13*12,'Buy Vs Rent Calculator'!$D$21),0)</f>
        <v>5186.416030012404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2:16" ht="14.25" customHeight="1" x14ac:dyDescent="0.2">
      <c r="B235" s="91">
        <v>231</v>
      </c>
      <c r="C235" s="92">
        <f>IF(Table_1[[#This Row],[Column1]]&lt;='Buy Vs Rent Calculator'!$D$13*12,'Buy Vs Rent Calculator'!$D$22,0)</f>
        <v>69425.85866924272</v>
      </c>
      <c r="D235" s="92">
        <f>IF(Table_1[[#This Row],[Column1]]&lt;='Buy Vs Rent Calculator'!$D$13*12,-PPMT('Buy Vs Rent Calculator'!$D$12/12,Table_1[[#This Row],[Column1]],'Buy Vs Rent Calculator'!$D$13*12,'Buy Vs Rent Calculator'!$D$21),0)</f>
        <v>64694.47202459153</v>
      </c>
      <c r="E235" s="92">
        <f>IF(Table_1[[#This Row],[Column1]]&lt;='Buy Vs Rent Calculator'!$D$13*12,-IPMT('Buy Vs Rent Calculator'!$D$12/12,Table_1[[#This Row],[Column1]],'Buy Vs Rent Calculator'!$D$13*12,'Buy Vs Rent Calculator'!$D$21),0)</f>
        <v>4731.3866446511893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2:16" ht="14.25" customHeight="1" x14ac:dyDescent="0.2">
      <c r="B236" s="91">
        <v>232</v>
      </c>
      <c r="C236" s="92">
        <f>IF(Table_1[[#This Row],[Column1]]&lt;='Buy Vs Rent Calculator'!$D$13*12,'Buy Vs Rent Calculator'!$D$22,0)</f>
        <v>69425.85866924272</v>
      </c>
      <c r="D236" s="92">
        <f>IF(Table_1[[#This Row],[Column1]]&lt;='Buy Vs Rent Calculator'!$D$13*12,-PPMT('Buy Vs Rent Calculator'!$D$12/12,Table_1[[#This Row],[Column1]],'Buy Vs Rent Calculator'!$D$13*12,'Buy Vs Rent Calculator'!$D$21),0)</f>
        <v>65152.724534765723</v>
      </c>
      <c r="E236" s="92">
        <f>IF(Table_1[[#This Row],[Column1]]&lt;='Buy Vs Rent Calculator'!$D$13*12,-IPMT('Buy Vs Rent Calculator'!$D$12/12,Table_1[[#This Row],[Column1]],'Buy Vs Rent Calculator'!$D$13*12,'Buy Vs Rent Calculator'!$D$21),0)</f>
        <v>4273.134134476999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2:16" ht="14.25" customHeight="1" x14ac:dyDescent="0.2">
      <c r="B237" s="91">
        <v>233</v>
      </c>
      <c r="C237" s="92">
        <f>IF(Table_1[[#This Row],[Column1]]&lt;='Buy Vs Rent Calculator'!$D$13*12,'Buy Vs Rent Calculator'!$D$22,0)</f>
        <v>69425.85866924272</v>
      </c>
      <c r="D237" s="92">
        <f>IF(Table_1[[#This Row],[Column1]]&lt;='Buy Vs Rent Calculator'!$D$13*12,-PPMT('Buy Vs Rent Calculator'!$D$12/12,Table_1[[#This Row],[Column1]],'Buy Vs Rent Calculator'!$D$13*12,'Buy Vs Rent Calculator'!$D$21),0)</f>
        <v>65614.2230002203</v>
      </c>
      <c r="E237" s="92">
        <f>IF(Table_1[[#This Row],[Column1]]&lt;='Buy Vs Rent Calculator'!$D$13*12,-IPMT('Buy Vs Rent Calculator'!$D$12/12,Table_1[[#This Row],[Column1]],'Buy Vs Rent Calculator'!$D$13*12,'Buy Vs Rent Calculator'!$D$21),0)</f>
        <v>3811.6356690224084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2:16" ht="14.25" customHeight="1" x14ac:dyDescent="0.2">
      <c r="B238" s="91">
        <v>234</v>
      </c>
      <c r="C238" s="92">
        <f>IF(Table_1[[#This Row],[Column1]]&lt;='Buy Vs Rent Calculator'!$D$13*12,'Buy Vs Rent Calculator'!$D$22,0)</f>
        <v>69425.85866924272</v>
      </c>
      <c r="D238" s="92">
        <f>IF(Table_1[[#This Row],[Column1]]&lt;='Buy Vs Rent Calculator'!$D$13*12,-PPMT('Buy Vs Rent Calculator'!$D$12/12,Table_1[[#This Row],[Column1]],'Buy Vs Rent Calculator'!$D$13*12,'Buy Vs Rent Calculator'!$D$21),0)</f>
        <v>66078.990413138541</v>
      </c>
      <c r="E238" s="92">
        <f>IF(Table_1[[#This Row],[Column1]]&lt;='Buy Vs Rent Calculator'!$D$13*12,-IPMT('Buy Vs Rent Calculator'!$D$12/12,Table_1[[#This Row],[Column1]],'Buy Vs Rent Calculator'!$D$13*12,'Buy Vs Rent Calculator'!$D$21),0)</f>
        <v>3346.8682561041815</v>
      </c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2:16" ht="14.25" customHeight="1" x14ac:dyDescent="0.2">
      <c r="B239" s="91">
        <v>235</v>
      </c>
      <c r="C239" s="92">
        <f>IF(Table_1[[#This Row],[Column1]]&lt;='Buy Vs Rent Calculator'!$D$13*12,'Buy Vs Rent Calculator'!$D$22,0)</f>
        <v>69425.85866924272</v>
      </c>
      <c r="D239" s="92">
        <f>IF(Table_1[[#This Row],[Column1]]&lt;='Buy Vs Rent Calculator'!$D$13*12,-PPMT('Buy Vs Rent Calculator'!$D$12/12,Table_1[[#This Row],[Column1]],'Buy Vs Rent Calculator'!$D$13*12,'Buy Vs Rent Calculator'!$D$21),0)</f>
        <v>66547.049928564942</v>
      </c>
      <c r="E239" s="92">
        <f>IF(Table_1[[#This Row],[Column1]]&lt;='Buy Vs Rent Calculator'!$D$13*12,-IPMT('Buy Vs Rent Calculator'!$D$12/12,Table_1[[#This Row],[Column1]],'Buy Vs Rent Calculator'!$D$13*12,'Buy Vs Rent Calculator'!$D$21),0)</f>
        <v>2878.8087406777836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2:16" ht="14.25" customHeight="1" x14ac:dyDescent="0.2">
      <c r="B240" s="91">
        <v>236</v>
      </c>
      <c r="C240" s="92">
        <f>IF(Table_1[[#This Row],[Column1]]&lt;='Buy Vs Rent Calculator'!$D$13*12,'Buy Vs Rent Calculator'!$D$22,0)</f>
        <v>69425.85866924272</v>
      </c>
      <c r="D240" s="92">
        <f>IF(Table_1[[#This Row],[Column1]]&lt;='Buy Vs Rent Calculator'!$D$13*12,-PPMT('Buy Vs Rent Calculator'!$D$12/12,Table_1[[#This Row],[Column1]],'Buy Vs Rent Calculator'!$D$13*12,'Buy Vs Rent Calculator'!$D$21),0)</f>
        <v>67018.424865558933</v>
      </c>
      <c r="E240" s="92">
        <f>IF(Table_1[[#This Row],[Column1]]&lt;='Buy Vs Rent Calculator'!$D$13*12,-IPMT('Buy Vs Rent Calculator'!$D$12/12,Table_1[[#This Row],[Column1]],'Buy Vs Rent Calculator'!$D$13*12,'Buy Vs Rent Calculator'!$D$21),0)</f>
        <v>2407.4338036837821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2:16" ht="14.25" customHeight="1" x14ac:dyDescent="0.2">
      <c r="B241" s="91">
        <v>237</v>
      </c>
      <c r="C241" s="92">
        <f>IF(Table_1[[#This Row],[Column1]]&lt;='Buy Vs Rent Calculator'!$D$13*12,'Buy Vs Rent Calculator'!$D$22,0)</f>
        <v>69425.85866924272</v>
      </c>
      <c r="D241" s="92">
        <f>IF(Table_1[[#This Row],[Column1]]&lt;='Buy Vs Rent Calculator'!$D$13*12,-PPMT('Buy Vs Rent Calculator'!$D$12/12,Table_1[[#This Row],[Column1]],'Buy Vs Rent Calculator'!$D$13*12,'Buy Vs Rent Calculator'!$D$21),0)</f>
        <v>67493.138708356637</v>
      </c>
      <c r="E241" s="92">
        <f>IF(Table_1[[#This Row],[Column1]]&lt;='Buy Vs Rent Calculator'!$D$13*12,-IPMT('Buy Vs Rent Calculator'!$D$12/12,Table_1[[#This Row],[Column1]],'Buy Vs Rent Calculator'!$D$13*12,'Buy Vs Rent Calculator'!$D$21),0)</f>
        <v>1932.7199608860731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2:16" ht="14.25" customHeight="1" x14ac:dyDescent="0.2">
      <c r="B242" s="91">
        <v>238</v>
      </c>
      <c r="C242" s="92">
        <f>IF(Table_1[[#This Row],[Column1]]&lt;='Buy Vs Rent Calculator'!$D$13*12,'Buy Vs Rent Calculator'!$D$22,0)</f>
        <v>69425.85866924272</v>
      </c>
      <c r="D242" s="92">
        <f>IF(Table_1[[#This Row],[Column1]]&lt;='Buy Vs Rent Calculator'!$D$13*12,-PPMT('Buy Vs Rent Calculator'!$D$12/12,Table_1[[#This Row],[Column1]],'Buy Vs Rent Calculator'!$D$13*12,'Buy Vs Rent Calculator'!$D$21),0)</f>
        <v>67971.215107540833</v>
      </c>
      <c r="E242" s="92">
        <f>IF(Table_1[[#This Row],[Column1]]&lt;='Buy Vs Rent Calculator'!$D$13*12,-IPMT('Buy Vs Rent Calculator'!$D$12/12,Table_1[[#This Row],[Column1]],'Buy Vs Rent Calculator'!$D$13*12,'Buy Vs Rent Calculator'!$D$21),0)</f>
        <v>1454.6435617018799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2:16" ht="14.25" customHeight="1" x14ac:dyDescent="0.2">
      <c r="B243" s="91">
        <v>239</v>
      </c>
      <c r="C243" s="92">
        <f>IF(Table_1[[#This Row],[Column1]]&lt;='Buy Vs Rent Calculator'!$D$13*12,'Buy Vs Rent Calculator'!$D$22,0)</f>
        <v>69425.85866924272</v>
      </c>
      <c r="D243" s="92">
        <f>IF(Table_1[[#This Row],[Column1]]&lt;='Buy Vs Rent Calculator'!$D$13*12,-PPMT('Buy Vs Rent Calculator'!$D$12/12,Table_1[[#This Row],[Column1]],'Buy Vs Rent Calculator'!$D$13*12,'Buy Vs Rent Calculator'!$D$21),0)</f>
        <v>68452.67788121925</v>
      </c>
      <c r="E243" s="92">
        <f>IF(Table_1[[#This Row],[Column1]]&lt;='Buy Vs Rent Calculator'!$D$13*12,-IPMT('Buy Vs Rent Calculator'!$D$12/12,Table_1[[#This Row],[Column1]],'Buy Vs Rent Calculator'!$D$13*12,'Buy Vs Rent Calculator'!$D$21),0)</f>
        <v>973.18078802346565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2:16" ht="14.25" customHeight="1" x14ac:dyDescent="0.2">
      <c r="B244" s="91">
        <v>240</v>
      </c>
      <c r="C244" s="92">
        <f>IF(Table_1[[#This Row],[Column1]]&lt;='Buy Vs Rent Calculator'!$D$13*12,'Buy Vs Rent Calculator'!$D$22,0)</f>
        <v>69425.85866924272</v>
      </c>
      <c r="D244" s="92">
        <f>IF(Table_1[[#This Row],[Column1]]&lt;='Buy Vs Rent Calculator'!$D$13*12,-PPMT('Buy Vs Rent Calculator'!$D$12/12,Table_1[[#This Row],[Column1]],'Buy Vs Rent Calculator'!$D$13*12,'Buy Vs Rent Calculator'!$D$21),0)</f>
        <v>68937.551016211219</v>
      </c>
      <c r="E244" s="92">
        <f>IF(Table_1[[#This Row],[Column1]]&lt;='Buy Vs Rent Calculator'!$D$13*12,-IPMT('Buy Vs Rent Calculator'!$D$12/12,Table_1[[#This Row],[Column1]],'Buy Vs Rent Calculator'!$D$13*12,'Buy Vs Rent Calculator'!$D$21),0)</f>
        <v>488.30765303149605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2:16" ht="14.25" customHeight="1" x14ac:dyDescent="0.2">
      <c r="B245" s="91">
        <v>241</v>
      </c>
      <c r="C245" s="92">
        <f>IF(Table_1[[#This Row],[Column1]]&lt;='Buy Vs Rent Calculator'!$D$13*12,'Buy Vs Rent Calculator'!$D$22,0)</f>
        <v>0</v>
      </c>
      <c r="D24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2:16" ht="14.25" customHeight="1" x14ac:dyDescent="0.2">
      <c r="B246" s="91">
        <v>242</v>
      </c>
      <c r="C246" s="92">
        <f>IF(Table_1[[#This Row],[Column1]]&lt;='Buy Vs Rent Calculator'!$D$13*12,'Buy Vs Rent Calculator'!$D$22,0)</f>
        <v>0</v>
      </c>
      <c r="D24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2:16" ht="14.25" customHeight="1" x14ac:dyDescent="0.2">
      <c r="B247" s="91">
        <v>243</v>
      </c>
      <c r="C247" s="92">
        <f>IF(Table_1[[#This Row],[Column1]]&lt;='Buy Vs Rent Calculator'!$D$13*12,'Buy Vs Rent Calculator'!$D$22,0)</f>
        <v>0</v>
      </c>
      <c r="D24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2:16" ht="14.25" customHeight="1" x14ac:dyDescent="0.2">
      <c r="B248" s="91">
        <v>244</v>
      </c>
      <c r="C248" s="92">
        <f>IF(Table_1[[#This Row],[Column1]]&lt;='Buy Vs Rent Calculator'!$D$13*12,'Buy Vs Rent Calculator'!$D$22,0)</f>
        <v>0</v>
      </c>
      <c r="D24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2:16" ht="14.25" customHeight="1" x14ac:dyDescent="0.2">
      <c r="B249" s="91">
        <v>245</v>
      </c>
      <c r="C249" s="92">
        <f>IF(Table_1[[#This Row],[Column1]]&lt;='Buy Vs Rent Calculator'!$D$13*12,'Buy Vs Rent Calculator'!$D$22,0)</f>
        <v>0</v>
      </c>
      <c r="D24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4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2:16" ht="14.25" customHeight="1" x14ac:dyDescent="0.2">
      <c r="B250" s="91">
        <v>246</v>
      </c>
      <c r="C250" s="92">
        <f>IF(Table_1[[#This Row],[Column1]]&lt;='Buy Vs Rent Calculator'!$D$13*12,'Buy Vs Rent Calculator'!$D$22,0)</f>
        <v>0</v>
      </c>
      <c r="D25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2:16" ht="14.25" customHeight="1" x14ac:dyDescent="0.2">
      <c r="B251" s="91">
        <v>247</v>
      </c>
      <c r="C251" s="92">
        <f>IF(Table_1[[#This Row],[Column1]]&lt;='Buy Vs Rent Calculator'!$D$13*12,'Buy Vs Rent Calculator'!$D$22,0)</f>
        <v>0</v>
      </c>
      <c r="D25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2:16" ht="14.25" customHeight="1" x14ac:dyDescent="0.2">
      <c r="B252" s="91">
        <v>248</v>
      </c>
      <c r="C252" s="92">
        <f>IF(Table_1[[#This Row],[Column1]]&lt;='Buy Vs Rent Calculator'!$D$13*12,'Buy Vs Rent Calculator'!$D$22,0)</f>
        <v>0</v>
      </c>
      <c r="D25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2:16" ht="14.25" customHeight="1" x14ac:dyDescent="0.2">
      <c r="B253" s="91">
        <v>249</v>
      </c>
      <c r="C253" s="92">
        <f>IF(Table_1[[#This Row],[Column1]]&lt;='Buy Vs Rent Calculator'!$D$13*12,'Buy Vs Rent Calculator'!$D$22,0)</f>
        <v>0</v>
      </c>
      <c r="D25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2:16" ht="14.25" customHeight="1" x14ac:dyDescent="0.2">
      <c r="B254" s="91">
        <v>250</v>
      </c>
      <c r="C254" s="92">
        <f>IF(Table_1[[#This Row],[Column1]]&lt;='Buy Vs Rent Calculator'!$D$13*12,'Buy Vs Rent Calculator'!$D$22,0)</f>
        <v>0</v>
      </c>
      <c r="D25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2:16" ht="14.25" customHeight="1" x14ac:dyDescent="0.2">
      <c r="B255" s="91">
        <v>251</v>
      </c>
      <c r="C255" s="92">
        <f>IF(Table_1[[#This Row],[Column1]]&lt;='Buy Vs Rent Calculator'!$D$13*12,'Buy Vs Rent Calculator'!$D$22,0)</f>
        <v>0</v>
      </c>
      <c r="D25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2:16" ht="14.25" customHeight="1" x14ac:dyDescent="0.2">
      <c r="B256" s="91">
        <v>252</v>
      </c>
      <c r="C256" s="92">
        <f>IF(Table_1[[#This Row],[Column1]]&lt;='Buy Vs Rent Calculator'!$D$13*12,'Buy Vs Rent Calculator'!$D$22,0)</f>
        <v>0</v>
      </c>
      <c r="D25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2:16" ht="14.25" customHeight="1" x14ac:dyDescent="0.2">
      <c r="B257" s="91">
        <v>253</v>
      </c>
      <c r="C257" s="92">
        <f>IF(Table_1[[#This Row],[Column1]]&lt;='Buy Vs Rent Calculator'!$D$13*12,'Buy Vs Rent Calculator'!$D$22,0)</f>
        <v>0</v>
      </c>
      <c r="D25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2:16" ht="14.25" customHeight="1" x14ac:dyDescent="0.2">
      <c r="B258" s="91">
        <v>254</v>
      </c>
      <c r="C258" s="92">
        <f>IF(Table_1[[#This Row],[Column1]]&lt;='Buy Vs Rent Calculator'!$D$13*12,'Buy Vs Rent Calculator'!$D$22,0)</f>
        <v>0</v>
      </c>
      <c r="D25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2:16" ht="14.25" customHeight="1" x14ac:dyDescent="0.2">
      <c r="B259" s="91">
        <v>255</v>
      </c>
      <c r="C259" s="92">
        <f>IF(Table_1[[#This Row],[Column1]]&lt;='Buy Vs Rent Calculator'!$D$13*12,'Buy Vs Rent Calculator'!$D$22,0)</f>
        <v>0</v>
      </c>
      <c r="D25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5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2:16" ht="14.25" customHeight="1" x14ac:dyDescent="0.2">
      <c r="B260" s="91">
        <v>256</v>
      </c>
      <c r="C260" s="92">
        <f>IF(Table_1[[#This Row],[Column1]]&lt;='Buy Vs Rent Calculator'!$D$13*12,'Buy Vs Rent Calculator'!$D$22,0)</f>
        <v>0</v>
      </c>
      <c r="D26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2:16" ht="14.25" customHeight="1" x14ac:dyDescent="0.2">
      <c r="B261" s="91">
        <v>257</v>
      </c>
      <c r="C261" s="92">
        <f>IF(Table_1[[#This Row],[Column1]]&lt;='Buy Vs Rent Calculator'!$D$13*12,'Buy Vs Rent Calculator'!$D$22,0)</f>
        <v>0</v>
      </c>
      <c r="D26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2:16" ht="14.25" customHeight="1" x14ac:dyDescent="0.2">
      <c r="B262" s="91">
        <v>258</v>
      </c>
      <c r="C262" s="92">
        <f>IF(Table_1[[#This Row],[Column1]]&lt;='Buy Vs Rent Calculator'!$D$13*12,'Buy Vs Rent Calculator'!$D$22,0)</f>
        <v>0</v>
      </c>
      <c r="D26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2:16" ht="14.25" customHeight="1" x14ac:dyDescent="0.2">
      <c r="B263" s="91">
        <v>259</v>
      </c>
      <c r="C263" s="92">
        <f>IF(Table_1[[#This Row],[Column1]]&lt;='Buy Vs Rent Calculator'!$D$13*12,'Buy Vs Rent Calculator'!$D$22,0)</f>
        <v>0</v>
      </c>
      <c r="D26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2:16" ht="14.25" customHeight="1" x14ac:dyDescent="0.2">
      <c r="B264" s="91">
        <v>260</v>
      </c>
      <c r="C264" s="92">
        <f>IF(Table_1[[#This Row],[Column1]]&lt;='Buy Vs Rent Calculator'!$D$13*12,'Buy Vs Rent Calculator'!$D$22,0)</f>
        <v>0</v>
      </c>
      <c r="D26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2:16" ht="14.25" customHeight="1" x14ac:dyDescent="0.2">
      <c r="B265" s="91">
        <v>261</v>
      </c>
      <c r="C265" s="92">
        <f>IF(Table_1[[#This Row],[Column1]]&lt;='Buy Vs Rent Calculator'!$D$13*12,'Buy Vs Rent Calculator'!$D$22,0)</f>
        <v>0</v>
      </c>
      <c r="D26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2:16" ht="14.25" customHeight="1" x14ac:dyDescent="0.2">
      <c r="B266" s="91">
        <v>262</v>
      </c>
      <c r="C266" s="92">
        <f>IF(Table_1[[#This Row],[Column1]]&lt;='Buy Vs Rent Calculator'!$D$13*12,'Buy Vs Rent Calculator'!$D$22,0)</f>
        <v>0</v>
      </c>
      <c r="D26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2:16" ht="14.25" customHeight="1" x14ac:dyDescent="0.2">
      <c r="B267" s="91">
        <v>263</v>
      </c>
      <c r="C267" s="92">
        <f>IF(Table_1[[#This Row],[Column1]]&lt;='Buy Vs Rent Calculator'!$D$13*12,'Buy Vs Rent Calculator'!$D$22,0)</f>
        <v>0</v>
      </c>
      <c r="D26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2:16" ht="14.25" customHeight="1" x14ac:dyDescent="0.2">
      <c r="B268" s="91">
        <v>264</v>
      </c>
      <c r="C268" s="92">
        <f>IF(Table_1[[#This Row],[Column1]]&lt;='Buy Vs Rent Calculator'!$D$13*12,'Buy Vs Rent Calculator'!$D$22,0)</f>
        <v>0</v>
      </c>
      <c r="D26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2:16" ht="14.25" customHeight="1" x14ac:dyDescent="0.2">
      <c r="B269" s="91">
        <v>265</v>
      </c>
      <c r="C269" s="92">
        <f>IF(Table_1[[#This Row],[Column1]]&lt;='Buy Vs Rent Calculator'!$D$13*12,'Buy Vs Rent Calculator'!$D$22,0)</f>
        <v>0</v>
      </c>
      <c r="D26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6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2:16" ht="14.25" customHeight="1" x14ac:dyDescent="0.2">
      <c r="B270" s="91">
        <v>266</v>
      </c>
      <c r="C270" s="92">
        <f>IF(Table_1[[#This Row],[Column1]]&lt;='Buy Vs Rent Calculator'!$D$13*12,'Buy Vs Rent Calculator'!$D$22,0)</f>
        <v>0</v>
      </c>
      <c r="D27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2:16" ht="14.25" customHeight="1" x14ac:dyDescent="0.2">
      <c r="B271" s="91">
        <v>267</v>
      </c>
      <c r="C271" s="92">
        <f>IF(Table_1[[#This Row],[Column1]]&lt;='Buy Vs Rent Calculator'!$D$13*12,'Buy Vs Rent Calculator'!$D$22,0)</f>
        <v>0</v>
      </c>
      <c r="D27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2:16" ht="14.25" customHeight="1" x14ac:dyDescent="0.2">
      <c r="B272" s="91">
        <v>268</v>
      </c>
      <c r="C272" s="92">
        <f>IF(Table_1[[#This Row],[Column1]]&lt;='Buy Vs Rent Calculator'!$D$13*12,'Buy Vs Rent Calculator'!$D$22,0)</f>
        <v>0</v>
      </c>
      <c r="D27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2:16" ht="14.25" customHeight="1" x14ac:dyDescent="0.2">
      <c r="B273" s="91">
        <v>269</v>
      </c>
      <c r="C273" s="92">
        <f>IF(Table_1[[#This Row],[Column1]]&lt;='Buy Vs Rent Calculator'!$D$13*12,'Buy Vs Rent Calculator'!$D$22,0)</f>
        <v>0</v>
      </c>
      <c r="D27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2:16" ht="14.25" customHeight="1" x14ac:dyDescent="0.2">
      <c r="B274" s="91">
        <v>270</v>
      </c>
      <c r="C274" s="92">
        <f>IF(Table_1[[#This Row],[Column1]]&lt;='Buy Vs Rent Calculator'!$D$13*12,'Buy Vs Rent Calculator'!$D$22,0)</f>
        <v>0</v>
      </c>
      <c r="D27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2:16" ht="14.25" customHeight="1" x14ac:dyDescent="0.2">
      <c r="B275" s="91">
        <v>271</v>
      </c>
      <c r="C275" s="92">
        <f>IF(Table_1[[#This Row],[Column1]]&lt;='Buy Vs Rent Calculator'!$D$13*12,'Buy Vs Rent Calculator'!$D$22,0)</f>
        <v>0</v>
      </c>
      <c r="D27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2:16" ht="14.25" customHeight="1" x14ac:dyDescent="0.2">
      <c r="B276" s="91">
        <v>272</v>
      </c>
      <c r="C276" s="92">
        <f>IF(Table_1[[#This Row],[Column1]]&lt;='Buy Vs Rent Calculator'!$D$13*12,'Buy Vs Rent Calculator'!$D$22,0)</f>
        <v>0</v>
      </c>
      <c r="D27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2:16" ht="14.25" customHeight="1" x14ac:dyDescent="0.2">
      <c r="B277" s="91">
        <v>273</v>
      </c>
      <c r="C277" s="92">
        <f>IF(Table_1[[#This Row],[Column1]]&lt;='Buy Vs Rent Calculator'!$D$13*12,'Buy Vs Rent Calculator'!$D$22,0)</f>
        <v>0</v>
      </c>
      <c r="D27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2:16" ht="14.25" customHeight="1" x14ac:dyDescent="0.2">
      <c r="B278" s="91">
        <v>274</v>
      </c>
      <c r="C278" s="92">
        <f>IF(Table_1[[#This Row],[Column1]]&lt;='Buy Vs Rent Calculator'!$D$13*12,'Buy Vs Rent Calculator'!$D$22,0)</f>
        <v>0</v>
      </c>
      <c r="D27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2:16" ht="14.25" customHeight="1" x14ac:dyDescent="0.2">
      <c r="B279" s="91">
        <v>275</v>
      </c>
      <c r="C279" s="92">
        <f>IF(Table_1[[#This Row],[Column1]]&lt;='Buy Vs Rent Calculator'!$D$13*12,'Buy Vs Rent Calculator'!$D$22,0)</f>
        <v>0</v>
      </c>
      <c r="D27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7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2:16" ht="14.25" customHeight="1" x14ac:dyDescent="0.2">
      <c r="B280" s="91">
        <v>276</v>
      </c>
      <c r="C280" s="92">
        <f>IF(Table_1[[#This Row],[Column1]]&lt;='Buy Vs Rent Calculator'!$D$13*12,'Buy Vs Rent Calculator'!$D$22,0)</f>
        <v>0</v>
      </c>
      <c r="D28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2:16" ht="14.25" customHeight="1" x14ac:dyDescent="0.2">
      <c r="B281" s="91">
        <v>277</v>
      </c>
      <c r="C281" s="92">
        <f>IF(Table_1[[#This Row],[Column1]]&lt;='Buy Vs Rent Calculator'!$D$13*12,'Buy Vs Rent Calculator'!$D$22,0)</f>
        <v>0</v>
      </c>
      <c r="D28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2:16" ht="14.25" customHeight="1" x14ac:dyDescent="0.2">
      <c r="B282" s="91">
        <v>278</v>
      </c>
      <c r="C282" s="92">
        <f>IF(Table_1[[#This Row],[Column1]]&lt;='Buy Vs Rent Calculator'!$D$13*12,'Buy Vs Rent Calculator'!$D$22,0)</f>
        <v>0</v>
      </c>
      <c r="D28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2:16" ht="14.25" customHeight="1" x14ac:dyDescent="0.2">
      <c r="B283" s="91">
        <v>279</v>
      </c>
      <c r="C283" s="92">
        <f>IF(Table_1[[#This Row],[Column1]]&lt;='Buy Vs Rent Calculator'!$D$13*12,'Buy Vs Rent Calculator'!$D$22,0)</f>
        <v>0</v>
      </c>
      <c r="D28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2:16" ht="14.25" customHeight="1" x14ac:dyDescent="0.2">
      <c r="B284" s="91">
        <v>280</v>
      </c>
      <c r="C284" s="92">
        <f>IF(Table_1[[#This Row],[Column1]]&lt;='Buy Vs Rent Calculator'!$D$13*12,'Buy Vs Rent Calculator'!$D$22,0)</f>
        <v>0</v>
      </c>
      <c r="D28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2:16" ht="14.25" customHeight="1" x14ac:dyDescent="0.2">
      <c r="B285" s="91">
        <v>281</v>
      </c>
      <c r="C285" s="92">
        <f>IF(Table_1[[#This Row],[Column1]]&lt;='Buy Vs Rent Calculator'!$D$13*12,'Buy Vs Rent Calculator'!$D$22,0)</f>
        <v>0</v>
      </c>
      <c r="D28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2:16" ht="14.25" customHeight="1" x14ac:dyDescent="0.2">
      <c r="B286" s="91">
        <v>282</v>
      </c>
      <c r="C286" s="92">
        <f>IF(Table_1[[#This Row],[Column1]]&lt;='Buy Vs Rent Calculator'!$D$13*12,'Buy Vs Rent Calculator'!$D$22,0)</f>
        <v>0</v>
      </c>
      <c r="D28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2:16" ht="14.25" customHeight="1" x14ac:dyDescent="0.2">
      <c r="B287" s="91">
        <v>283</v>
      </c>
      <c r="C287" s="92">
        <f>IF(Table_1[[#This Row],[Column1]]&lt;='Buy Vs Rent Calculator'!$D$13*12,'Buy Vs Rent Calculator'!$D$22,0)</f>
        <v>0</v>
      </c>
      <c r="D28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2:16" ht="14.25" customHeight="1" x14ac:dyDescent="0.2">
      <c r="B288" s="91">
        <v>284</v>
      </c>
      <c r="C288" s="92">
        <f>IF(Table_1[[#This Row],[Column1]]&lt;='Buy Vs Rent Calculator'!$D$13*12,'Buy Vs Rent Calculator'!$D$22,0)</f>
        <v>0</v>
      </c>
      <c r="D28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2:16" ht="14.25" customHeight="1" x14ac:dyDescent="0.2">
      <c r="B289" s="91">
        <v>285</v>
      </c>
      <c r="C289" s="92">
        <f>IF(Table_1[[#This Row],[Column1]]&lt;='Buy Vs Rent Calculator'!$D$13*12,'Buy Vs Rent Calculator'!$D$22,0)</f>
        <v>0</v>
      </c>
      <c r="D28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8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2:16" ht="14.25" customHeight="1" x14ac:dyDescent="0.2">
      <c r="B290" s="91">
        <v>286</v>
      </c>
      <c r="C290" s="92">
        <f>IF(Table_1[[#This Row],[Column1]]&lt;='Buy Vs Rent Calculator'!$D$13*12,'Buy Vs Rent Calculator'!$D$22,0)</f>
        <v>0</v>
      </c>
      <c r="D290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0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2:16" ht="14.25" customHeight="1" x14ac:dyDescent="0.2">
      <c r="B291" s="91">
        <v>287</v>
      </c>
      <c r="C291" s="92">
        <f>IF(Table_1[[#This Row],[Column1]]&lt;='Buy Vs Rent Calculator'!$D$13*12,'Buy Vs Rent Calculator'!$D$22,0)</f>
        <v>0</v>
      </c>
      <c r="D291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1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2:16" ht="14.25" customHeight="1" x14ac:dyDescent="0.2">
      <c r="B292" s="91">
        <v>288</v>
      </c>
      <c r="C292" s="92">
        <f>IF(Table_1[[#This Row],[Column1]]&lt;='Buy Vs Rent Calculator'!$D$13*12,'Buy Vs Rent Calculator'!$D$22,0)</f>
        <v>0</v>
      </c>
      <c r="D292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2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2:16" ht="14.25" customHeight="1" x14ac:dyDescent="0.2">
      <c r="B293" s="91">
        <v>289</v>
      </c>
      <c r="C293" s="92">
        <f>IF(Table_1[[#This Row],[Column1]]&lt;='Buy Vs Rent Calculator'!$D$13*12,'Buy Vs Rent Calculator'!$D$22,0)</f>
        <v>0</v>
      </c>
      <c r="D293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3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2:16" ht="14.25" customHeight="1" x14ac:dyDescent="0.2">
      <c r="B294" s="91">
        <v>290</v>
      </c>
      <c r="C294" s="92">
        <f>IF(Table_1[[#This Row],[Column1]]&lt;='Buy Vs Rent Calculator'!$D$13*12,'Buy Vs Rent Calculator'!$D$22,0)</f>
        <v>0</v>
      </c>
      <c r="D294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4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2:16" ht="14.25" customHeight="1" x14ac:dyDescent="0.2">
      <c r="B295" s="91">
        <v>291</v>
      </c>
      <c r="C295" s="92">
        <f>IF(Table_1[[#This Row],[Column1]]&lt;='Buy Vs Rent Calculator'!$D$13*12,'Buy Vs Rent Calculator'!$D$22,0)</f>
        <v>0</v>
      </c>
      <c r="D295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5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2:16" ht="14.25" customHeight="1" x14ac:dyDescent="0.2">
      <c r="B296" s="91">
        <v>292</v>
      </c>
      <c r="C296" s="92">
        <f>IF(Table_1[[#This Row],[Column1]]&lt;='Buy Vs Rent Calculator'!$D$13*12,'Buy Vs Rent Calculator'!$D$22,0)</f>
        <v>0</v>
      </c>
      <c r="D296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6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2:16" ht="14.25" customHeight="1" x14ac:dyDescent="0.2">
      <c r="B297" s="91">
        <v>293</v>
      </c>
      <c r="C297" s="92">
        <f>IF(Table_1[[#This Row],[Column1]]&lt;='Buy Vs Rent Calculator'!$D$13*12,'Buy Vs Rent Calculator'!$D$22,0)</f>
        <v>0</v>
      </c>
      <c r="D297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7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2:16" ht="14.25" customHeight="1" x14ac:dyDescent="0.2">
      <c r="B298" s="91">
        <v>294</v>
      </c>
      <c r="C298" s="92">
        <f>IF(Table_1[[#This Row],[Column1]]&lt;='Buy Vs Rent Calculator'!$D$13*12,'Buy Vs Rent Calculator'!$D$22,0)</f>
        <v>0</v>
      </c>
      <c r="D298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8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2:16" ht="14.25" customHeight="1" x14ac:dyDescent="0.2">
      <c r="B299" s="91">
        <v>295</v>
      </c>
      <c r="C299" s="92">
        <f>IF(Table_1[[#This Row],[Column1]]&lt;='Buy Vs Rent Calculator'!$D$13*12,'Buy Vs Rent Calculator'!$D$22,0)</f>
        <v>0</v>
      </c>
      <c r="D299" s="92">
        <f>IF(Table_1[[#This Row],[Column1]]&lt;='Buy Vs Rent Calculator'!$D$13*12,-PPMT('Buy Vs Rent Calculator'!$D$12/12,Table_1[[#This Row],[Column1]],'Buy Vs Rent Calculator'!$D$13*12,'Buy Vs Rent Calculator'!$D$21),0)</f>
        <v>0</v>
      </c>
      <c r="E299" s="92">
        <f>IF(Table_1[[#This Row],[Column1]]&lt;='Buy Vs Rent Calculator'!$D$13*12,-IPMT('Buy Vs Rent Calculator'!$D$12/12,Table_1[[#This Row],[Column1]],'Buy Vs Rent Calculator'!$D$13*12,'Buy Vs Rent Calculator'!$D$21),0)</f>
        <v>0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2:16" ht="14.25" customHeight="1" x14ac:dyDescent="0.2">
      <c r="B300" s="91">
        <v>296</v>
      </c>
      <c r="C300" s="92">
        <f>IF(Table_1[[#This Row],[Column1]]&lt;='Buy Vs Rent Calculator'!$D$13*12,'Buy Vs Rent Calculator'!$D$22,0)</f>
        <v>0</v>
      </c>
      <c r="D30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2:16" ht="14.25" customHeight="1" x14ac:dyDescent="0.2">
      <c r="B301" s="91">
        <v>297</v>
      </c>
      <c r="C301" s="92">
        <f>IF(Table_1[[#This Row],[Column1]]&lt;='Buy Vs Rent Calculator'!$D$13*12,'Buy Vs Rent Calculator'!$D$22,0)</f>
        <v>0</v>
      </c>
      <c r="D30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2:16" ht="14.25" customHeight="1" x14ac:dyDescent="0.2">
      <c r="B302" s="91">
        <v>298</v>
      </c>
      <c r="C302" s="92">
        <f>IF(Table_1[[#This Row],[Column1]]&lt;='Buy Vs Rent Calculator'!$D$13*12,'Buy Vs Rent Calculator'!$D$22,0)</f>
        <v>0</v>
      </c>
      <c r="D30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2:16" ht="14.25" customHeight="1" x14ac:dyDescent="0.2">
      <c r="B303" s="91">
        <v>299</v>
      </c>
      <c r="C303" s="92">
        <f>IF(Table_1[[#This Row],[Column1]]&lt;='Buy Vs Rent Calculator'!$D$13*12,'Buy Vs Rent Calculator'!$D$22,0)</f>
        <v>0</v>
      </c>
      <c r="D30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2:16" ht="14.25" customHeight="1" x14ac:dyDescent="0.2">
      <c r="B304" s="91">
        <v>300</v>
      </c>
      <c r="C304" s="92">
        <f>IF(Table_1[[#This Row],[Column1]]&lt;='Buy Vs Rent Calculator'!$D$13*12,'Buy Vs Rent Calculator'!$D$22,0)</f>
        <v>0</v>
      </c>
      <c r="D30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2:16" ht="14.25" customHeight="1" x14ac:dyDescent="0.2">
      <c r="B305" s="91">
        <v>301</v>
      </c>
      <c r="C305" s="92">
        <f>IF(Table_1[[#This Row],[Column1]]&lt;='Buy Vs Rent Calculator'!$D$13*12,'Buy Vs Rent Calculator'!$D$22,0)</f>
        <v>0</v>
      </c>
      <c r="D30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2:16" ht="14.25" customHeight="1" x14ac:dyDescent="0.2">
      <c r="B306" s="91">
        <v>302</v>
      </c>
      <c r="C306" s="92">
        <f>IF(Table_1[[#This Row],[Column1]]&lt;='Buy Vs Rent Calculator'!$D$13*12,'Buy Vs Rent Calculator'!$D$22,0)</f>
        <v>0</v>
      </c>
      <c r="D30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2:16" ht="14.25" customHeight="1" x14ac:dyDescent="0.2">
      <c r="B307" s="91">
        <v>303</v>
      </c>
      <c r="C307" s="92">
        <f>IF(Table_1[[#This Row],[Column1]]&lt;='Buy Vs Rent Calculator'!$D$13*12,'Buy Vs Rent Calculator'!$D$22,0)</f>
        <v>0</v>
      </c>
      <c r="D30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2:16" ht="14.25" customHeight="1" x14ac:dyDescent="0.2">
      <c r="B308" s="91">
        <v>304</v>
      </c>
      <c r="C308" s="92">
        <f>IF(Table_1[[#This Row],[Column1]]&lt;='Buy Vs Rent Calculator'!$D$13*12,'Buy Vs Rent Calculator'!$D$22,0)</f>
        <v>0</v>
      </c>
      <c r="D30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2:16" ht="14.25" customHeight="1" x14ac:dyDescent="0.2">
      <c r="B309" s="91">
        <v>305</v>
      </c>
      <c r="C309" s="92">
        <f>IF(Table_1[[#This Row],[Column1]]&lt;='Buy Vs Rent Calculator'!$D$13*12,'Buy Vs Rent Calculator'!$D$22,0)</f>
        <v>0</v>
      </c>
      <c r="D30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0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2:16" ht="14.25" customHeight="1" x14ac:dyDescent="0.2">
      <c r="B310" s="91">
        <v>306</v>
      </c>
      <c r="C310" s="92">
        <f>IF(Table_1[[#This Row],[Column1]]&lt;='Buy Vs Rent Calculator'!$D$13*12,'Buy Vs Rent Calculator'!$D$22,0)</f>
        <v>0</v>
      </c>
      <c r="D31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2:16" ht="14.25" customHeight="1" x14ac:dyDescent="0.2">
      <c r="B311" s="91">
        <v>307</v>
      </c>
      <c r="C311" s="92">
        <f>IF(Table_1[[#This Row],[Column1]]&lt;='Buy Vs Rent Calculator'!$D$13*12,'Buy Vs Rent Calculator'!$D$22,0)</f>
        <v>0</v>
      </c>
      <c r="D31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2:16" ht="14.25" customHeight="1" x14ac:dyDescent="0.2">
      <c r="B312" s="91">
        <v>308</v>
      </c>
      <c r="C312" s="92">
        <f>IF(Table_1[[#This Row],[Column1]]&lt;='Buy Vs Rent Calculator'!$D$13*12,'Buy Vs Rent Calculator'!$D$22,0)</f>
        <v>0</v>
      </c>
      <c r="D31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2:16" ht="14.25" customHeight="1" x14ac:dyDescent="0.2">
      <c r="B313" s="91">
        <v>309</v>
      </c>
      <c r="C313" s="92">
        <f>IF(Table_1[[#This Row],[Column1]]&lt;='Buy Vs Rent Calculator'!$D$13*12,'Buy Vs Rent Calculator'!$D$22,0)</f>
        <v>0</v>
      </c>
      <c r="D31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2:16" ht="14.25" customHeight="1" x14ac:dyDescent="0.2">
      <c r="B314" s="91">
        <v>310</v>
      </c>
      <c r="C314" s="92">
        <f>IF(Table_1[[#This Row],[Column1]]&lt;='Buy Vs Rent Calculator'!$D$13*12,'Buy Vs Rent Calculator'!$D$22,0)</f>
        <v>0</v>
      </c>
      <c r="D31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2:16" ht="14.25" customHeight="1" x14ac:dyDescent="0.2">
      <c r="B315" s="91">
        <v>311</v>
      </c>
      <c r="C315" s="92">
        <f>IF(Table_1[[#This Row],[Column1]]&lt;='Buy Vs Rent Calculator'!$D$13*12,'Buy Vs Rent Calculator'!$D$22,0)</f>
        <v>0</v>
      </c>
      <c r="D31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2:16" ht="14.25" customHeight="1" x14ac:dyDescent="0.2">
      <c r="B316" s="91">
        <v>312</v>
      </c>
      <c r="C316" s="92">
        <f>IF(Table_1[[#This Row],[Column1]]&lt;='Buy Vs Rent Calculator'!$D$13*12,'Buy Vs Rent Calculator'!$D$22,0)</f>
        <v>0</v>
      </c>
      <c r="D31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2:16" ht="14.25" customHeight="1" x14ac:dyDescent="0.2">
      <c r="B317" s="91">
        <v>313</v>
      </c>
      <c r="C317" s="92">
        <f>IF(Table_1[[#This Row],[Column1]]&lt;='Buy Vs Rent Calculator'!$D$13*12,'Buy Vs Rent Calculator'!$D$22,0)</f>
        <v>0</v>
      </c>
      <c r="D31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2:16" ht="14.25" customHeight="1" x14ac:dyDescent="0.2">
      <c r="B318" s="91">
        <v>314</v>
      </c>
      <c r="C318" s="92">
        <f>IF(Table_1[[#This Row],[Column1]]&lt;='Buy Vs Rent Calculator'!$D$13*12,'Buy Vs Rent Calculator'!$D$22,0)</f>
        <v>0</v>
      </c>
      <c r="D31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2:16" ht="14.25" customHeight="1" x14ac:dyDescent="0.2">
      <c r="B319" s="91">
        <v>315</v>
      </c>
      <c r="C319" s="92">
        <f>IF(Table_1[[#This Row],[Column1]]&lt;='Buy Vs Rent Calculator'!$D$13*12,'Buy Vs Rent Calculator'!$D$22,0)</f>
        <v>0</v>
      </c>
      <c r="D31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1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2:16" ht="14.25" customHeight="1" x14ac:dyDescent="0.2">
      <c r="B320" s="91">
        <v>316</v>
      </c>
      <c r="C320" s="92">
        <f>IF(Table_1[[#This Row],[Column1]]&lt;='Buy Vs Rent Calculator'!$D$13*12,'Buy Vs Rent Calculator'!$D$22,0)</f>
        <v>0</v>
      </c>
      <c r="D32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2:16" ht="14.25" customHeight="1" x14ac:dyDescent="0.2">
      <c r="B321" s="91">
        <v>317</v>
      </c>
      <c r="C321" s="92">
        <f>IF(Table_1[[#This Row],[Column1]]&lt;='Buy Vs Rent Calculator'!$D$13*12,'Buy Vs Rent Calculator'!$D$22,0)</f>
        <v>0</v>
      </c>
      <c r="D32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2:16" ht="14.25" customHeight="1" x14ac:dyDescent="0.2">
      <c r="B322" s="91">
        <v>318</v>
      </c>
      <c r="C322" s="92">
        <f>IF(Table_1[[#This Row],[Column1]]&lt;='Buy Vs Rent Calculator'!$D$13*12,'Buy Vs Rent Calculator'!$D$22,0)</f>
        <v>0</v>
      </c>
      <c r="D32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2:16" ht="14.25" customHeight="1" x14ac:dyDescent="0.2">
      <c r="B323" s="91">
        <v>319</v>
      </c>
      <c r="C323" s="92">
        <f>IF(Table_1[[#This Row],[Column1]]&lt;='Buy Vs Rent Calculator'!$D$13*12,'Buy Vs Rent Calculator'!$D$22,0)</f>
        <v>0</v>
      </c>
      <c r="D32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2:16" ht="14.25" customHeight="1" x14ac:dyDescent="0.2">
      <c r="B324" s="91">
        <v>320</v>
      </c>
      <c r="C324" s="92">
        <f>IF(Table_1[[#This Row],[Column1]]&lt;='Buy Vs Rent Calculator'!$D$13*12,'Buy Vs Rent Calculator'!$D$22,0)</f>
        <v>0</v>
      </c>
      <c r="D32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2:16" ht="14.25" customHeight="1" x14ac:dyDescent="0.2">
      <c r="B325" s="91">
        <v>321</v>
      </c>
      <c r="C325" s="92">
        <f>IF(Table_1[[#This Row],[Column1]]&lt;='Buy Vs Rent Calculator'!$D$13*12,'Buy Vs Rent Calculator'!$D$22,0)</f>
        <v>0</v>
      </c>
      <c r="D32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2:16" ht="14.25" customHeight="1" x14ac:dyDescent="0.2">
      <c r="B326" s="91">
        <v>322</v>
      </c>
      <c r="C326" s="92">
        <f>IF(Table_1[[#This Row],[Column1]]&lt;='Buy Vs Rent Calculator'!$D$13*12,'Buy Vs Rent Calculator'!$D$22,0)</f>
        <v>0</v>
      </c>
      <c r="D32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2:16" ht="14.25" customHeight="1" x14ac:dyDescent="0.2">
      <c r="B327" s="91">
        <v>323</v>
      </c>
      <c r="C327" s="92">
        <f>IF(Table_1[[#This Row],[Column1]]&lt;='Buy Vs Rent Calculator'!$D$13*12,'Buy Vs Rent Calculator'!$D$22,0)</f>
        <v>0</v>
      </c>
      <c r="D32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2:16" ht="14.25" customHeight="1" x14ac:dyDescent="0.2">
      <c r="B328" s="91">
        <v>324</v>
      </c>
      <c r="C328" s="92">
        <f>IF(Table_1[[#This Row],[Column1]]&lt;='Buy Vs Rent Calculator'!$D$13*12,'Buy Vs Rent Calculator'!$D$22,0)</f>
        <v>0</v>
      </c>
      <c r="D32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2:16" ht="14.25" customHeight="1" x14ac:dyDescent="0.2">
      <c r="B329" s="91">
        <v>325</v>
      </c>
      <c r="C329" s="92">
        <f>IF(Table_1[[#This Row],[Column1]]&lt;='Buy Vs Rent Calculator'!$D$13*12,'Buy Vs Rent Calculator'!$D$22,0)</f>
        <v>0</v>
      </c>
      <c r="D32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2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2:16" ht="14.25" customHeight="1" x14ac:dyDescent="0.2">
      <c r="B330" s="91">
        <v>326</v>
      </c>
      <c r="C330" s="92">
        <f>IF(Table_1[[#This Row],[Column1]]&lt;='Buy Vs Rent Calculator'!$D$13*12,'Buy Vs Rent Calculator'!$D$22,0)</f>
        <v>0</v>
      </c>
      <c r="D33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2:16" ht="14.25" customHeight="1" x14ac:dyDescent="0.2">
      <c r="B331" s="91">
        <v>327</v>
      </c>
      <c r="C331" s="92">
        <f>IF(Table_1[[#This Row],[Column1]]&lt;='Buy Vs Rent Calculator'!$D$13*12,'Buy Vs Rent Calculator'!$D$22,0)</f>
        <v>0</v>
      </c>
      <c r="D33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2:16" ht="14.25" customHeight="1" x14ac:dyDescent="0.2">
      <c r="B332" s="91">
        <v>328</v>
      </c>
      <c r="C332" s="92">
        <f>IF(Table_1[[#This Row],[Column1]]&lt;='Buy Vs Rent Calculator'!$D$13*12,'Buy Vs Rent Calculator'!$D$22,0)</f>
        <v>0</v>
      </c>
      <c r="D33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2:16" ht="14.25" customHeight="1" x14ac:dyDescent="0.2">
      <c r="B333" s="91">
        <v>329</v>
      </c>
      <c r="C333" s="92">
        <f>IF(Table_1[[#This Row],[Column1]]&lt;='Buy Vs Rent Calculator'!$D$13*12,'Buy Vs Rent Calculator'!$D$22,0)</f>
        <v>0</v>
      </c>
      <c r="D33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2:16" ht="14.25" customHeight="1" x14ac:dyDescent="0.2">
      <c r="B334" s="91">
        <v>330</v>
      </c>
      <c r="C334" s="92">
        <f>IF(Table_1[[#This Row],[Column1]]&lt;='Buy Vs Rent Calculator'!$D$13*12,'Buy Vs Rent Calculator'!$D$22,0)</f>
        <v>0</v>
      </c>
      <c r="D33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2:16" ht="14.25" customHeight="1" x14ac:dyDescent="0.2">
      <c r="B335" s="91">
        <v>331</v>
      </c>
      <c r="C335" s="92">
        <f>IF(Table_1[[#This Row],[Column1]]&lt;='Buy Vs Rent Calculator'!$D$13*12,'Buy Vs Rent Calculator'!$D$22,0)</f>
        <v>0</v>
      </c>
      <c r="D33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2:16" ht="14.25" customHeight="1" x14ac:dyDescent="0.2">
      <c r="B336" s="91">
        <v>332</v>
      </c>
      <c r="C336" s="92">
        <f>IF(Table_1[[#This Row],[Column1]]&lt;='Buy Vs Rent Calculator'!$D$13*12,'Buy Vs Rent Calculator'!$D$22,0)</f>
        <v>0</v>
      </c>
      <c r="D33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2:16" ht="14.25" customHeight="1" x14ac:dyDescent="0.2">
      <c r="B337" s="91">
        <v>333</v>
      </c>
      <c r="C337" s="92">
        <f>IF(Table_1[[#This Row],[Column1]]&lt;='Buy Vs Rent Calculator'!$D$13*12,'Buy Vs Rent Calculator'!$D$22,0)</f>
        <v>0</v>
      </c>
      <c r="D33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2:16" ht="14.25" customHeight="1" x14ac:dyDescent="0.2">
      <c r="B338" s="91">
        <v>334</v>
      </c>
      <c r="C338" s="92">
        <f>IF(Table_1[[#This Row],[Column1]]&lt;='Buy Vs Rent Calculator'!$D$13*12,'Buy Vs Rent Calculator'!$D$22,0)</f>
        <v>0</v>
      </c>
      <c r="D33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2:16" ht="14.25" customHeight="1" x14ac:dyDescent="0.2">
      <c r="B339" s="91">
        <v>335</v>
      </c>
      <c r="C339" s="92">
        <f>IF(Table_1[[#This Row],[Column1]]&lt;='Buy Vs Rent Calculator'!$D$13*12,'Buy Vs Rent Calculator'!$D$22,0)</f>
        <v>0</v>
      </c>
      <c r="D33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3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2:16" ht="14.25" customHeight="1" x14ac:dyDescent="0.2">
      <c r="B340" s="91">
        <v>336</v>
      </c>
      <c r="C340" s="92">
        <f>IF(Table_1[[#This Row],[Column1]]&lt;='Buy Vs Rent Calculator'!$D$13*12,'Buy Vs Rent Calculator'!$D$22,0)</f>
        <v>0</v>
      </c>
      <c r="D34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2:16" ht="14.25" customHeight="1" x14ac:dyDescent="0.2">
      <c r="B341" s="91">
        <v>337</v>
      </c>
      <c r="C341" s="92">
        <f>IF(Table_1[[#This Row],[Column1]]&lt;='Buy Vs Rent Calculator'!$D$13*12,'Buy Vs Rent Calculator'!$D$22,0)</f>
        <v>0</v>
      </c>
      <c r="D34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2:16" ht="14.25" customHeight="1" x14ac:dyDescent="0.2">
      <c r="B342" s="91">
        <v>338</v>
      </c>
      <c r="C342" s="92">
        <f>IF(Table_1[[#This Row],[Column1]]&lt;='Buy Vs Rent Calculator'!$D$13*12,'Buy Vs Rent Calculator'!$D$22,0)</f>
        <v>0</v>
      </c>
      <c r="D34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2:16" ht="14.25" customHeight="1" x14ac:dyDescent="0.2">
      <c r="B343" s="91">
        <v>339</v>
      </c>
      <c r="C343" s="92">
        <f>IF(Table_1[[#This Row],[Column1]]&lt;='Buy Vs Rent Calculator'!$D$13*12,'Buy Vs Rent Calculator'!$D$22,0)</f>
        <v>0</v>
      </c>
      <c r="D34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2:16" ht="14.25" customHeight="1" x14ac:dyDescent="0.2">
      <c r="B344" s="91">
        <v>340</v>
      </c>
      <c r="C344" s="92">
        <f>IF(Table_1[[#This Row],[Column1]]&lt;='Buy Vs Rent Calculator'!$D$13*12,'Buy Vs Rent Calculator'!$D$22,0)</f>
        <v>0</v>
      </c>
      <c r="D34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2:16" ht="14.25" customHeight="1" x14ac:dyDescent="0.2">
      <c r="B345" s="91">
        <v>341</v>
      </c>
      <c r="C345" s="92">
        <f>IF(Table_1[[#This Row],[Column1]]&lt;='Buy Vs Rent Calculator'!$D$13*12,'Buy Vs Rent Calculator'!$D$22,0)</f>
        <v>0</v>
      </c>
      <c r="D34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2:16" ht="14.25" customHeight="1" x14ac:dyDescent="0.2">
      <c r="B346" s="91">
        <v>342</v>
      </c>
      <c r="C346" s="92">
        <f>IF(Table_1[[#This Row],[Column1]]&lt;='Buy Vs Rent Calculator'!$D$13*12,'Buy Vs Rent Calculator'!$D$22,0)</f>
        <v>0</v>
      </c>
      <c r="D34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2:16" ht="14.25" customHeight="1" x14ac:dyDescent="0.2">
      <c r="B347" s="91">
        <v>343</v>
      </c>
      <c r="C347" s="92">
        <f>IF(Table_1[[#This Row],[Column1]]&lt;='Buy Vs Rent Calculator'!$D$13*12,'Buy Vs Rent Calculator'!$D$22,0)</f>
        <v>0</v>
      </c>
      <c r="D34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2:16" ht="14.25" customHeight="1" x14ac:dyDescent="0.2">
      <c r="B348" s="91">
        <v>344</v>
      </c>
      <c r="C348" s="92">
        <f>IF(Table_1[[#This Row],[Column1]]&lt;='Buy Vs Rent Calculator'!$D$13*12,'Buy Vs Rent Calculator'!$D$22,0)</f>
        <v>0</v>
      </c>
      <c r="D34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2:16" ht="14.25" customHeight="1" x14ac:dyDescent="0.2">
      <c r="B349" s="91">
        <v>345</v>
      </c>
      <c r="C349" s="92">
        <f>IF(Table_1[[#This Row],[Column1]]&lt;='Buy Vs Rent Calculator'!$D$13*12,'Buy Vs Rent Calculator'!$D$22,0)</f>
        <v>0</v>
      </c>
      <c r="D34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4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2:16" ht="14.25" customHeight="1" x14ac:dyDescent="0.2">
      <c r="B350" s="91">
        <v>346</v>
      </c>
      <c r="C350" s="92">
        <f>IF(Table_1[[#This Row],[Column1]]&lt;='Buy Vs Rent Calculator'!$D$13*12,'Buy Vs Rent Calculator'!$D$22,0)</f>
        <v>0</v>
      </c>
      <c r="D35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2:16" ht="14.25" customHeight="1" x14ac:dyDescent="0.2">
      <c r="B351" s="91">
        <v>347</v>
      </c>
      <c r="C351" s="92">
        <f>IF(Table_1[[#This Row],[Column1]]&lt;='Buy Vs Rent Calculator'!$D$13*12,'Buy Vs Rent Calculator'!$D$22,0)</f>
        <v>0</v>
      </c>
      <c r="D35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2:16" ht="14.25" customHeight="1" x14ac:dyDescent="0.2">
      <c r="B352" s="91">
        <v>348</v>
      </c>
      <c r="C352" s="92">
        <f>IF(Table_1[[#This Row],[Column1]]&lt;='Buy Vs Rent Calculator'!$D$13*12,'Buy Vs Rent Calculator'!$D$22,0)</f>
        <v>0</v>
      </c>
      <c r="D35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2:16" ht="14.25" customHeight="1" x14ac:dyDescent="0.2">
      <c r="B353" s="91">
        <v>349</v>
      </c>
      <c r="C353" s="92">
        <f>IF(Table_1[[#This Row],[Column1]]&lt;='Buy Vs Rent Calculator'!$D$13*12,'Buy Vs Rent Calculator'!$D$22,0)</f>
        <v>0</v>
      </c>
      <c r="D35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2:16" ht="14.25" customHeight="1" x14ac:dyDescent="0.2">
      <c r="B354" s="91">
        <v>350</v>
      </c>
      <c r="C354" s="92">
        <f>IF(Table_1[[#This Row],[Column1]]&lt;='Buy Vs Rent Calculator'!$D$13*12,'Buy Vs Rent Calculator'!$D$22,0)</f>
        <v>0</v>
      </c>
      <c r="D35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2:16" ht="14.25" customHeight="1" x14ac:dyDescent="0.2">
      <c r="B355" s="91">
        <v>351</v>
      </c>
      <c r="C355" s="92">
        <f>IF(Table_1[[#This Row],[Column1]]&lt;='Buy Vs Rent Calculator'!$D$13*12,'Buy Vs Rent Calculator'!$D$22,0)</f>
        <v>0</v>
      </c>
      <c r="D355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5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2:16" ht="14.25" customHeight="1" x14ac:dyDescent="0.2">
      <c r="B356" s="91">
        <v>352</v>
      </c>
      <c r="C356" s="92">
        <f>IF(Table_1[[#This Row],[Column1]]&lt;='Buy Vs Rent Calculator'!$D$13*12,'Buy Vs Rent Calculator'!$D$22,0)</f>
        <v>0</v>
      </c>
      <c r="D356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6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2:16" ht="14.25" customHeight="1" x14ac:dyDescent="0.2">
      <c r="B357" s="91">
        <v>353</v>
      </c>
      <c r="C357" s="92">
        <f>IF(Table_1[[#This Row],[Column1]]&lt;='Buy Vs Rent Calculator'!$D$13*12,'Buy Vs Rent Calculator'!$D$22,0)</f>
        <v>0</v>
      </c>
      <c r="D357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7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2:16" ht="14.25" customHeight="1" x14ac:dyDescent="0.2">
      <c r="B358" s="91">
        <v>354</v>
      </c>
      <c r="C358" s="92">
        <f>IF(Table_1[[#This Row],[Column1]]&lt;='Buy Vs Rent Calculator'!$D$13*12,'Buy Vs Rent Calculator'!$D$22,0)</f>
        <v>0</v>
      </c>
      <c r="D358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8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2:16" ht="14.25" customHeight="1" x14ac:dyDescent="0.2">
      <c r="B359" s="91">
        <v>355</v>
      </c>
      <c r="C359" s="92">
        <f>IF(Table_1[[#This Row],[Column1]]&lt;='Buy Vs Rent Calculator'!$D$13*12,'Buy Vs Rent Calculator'!$D$22,0)</f>
        <v>0</v>
      </c>
      <c r="D359" s="92">
        <f>IF(Table_1[[#This Row],[Column1]]&lt;='Buy Vs Rent Calculator'!$D$13*12,-PPMT('Buy Vs Rent Calculator'!$D$12/12,Table_1[[#This Row],[Column1]],'Buy Vs Rent Calculator'!$D$13*12,'Buy Vs Rent Calculator'!$D$21),0)</f>
        <v>0</v>
      </c>
      <c r="E359" s="92">
        <f>IF(Table_1[[#This Row],[Column1]]&lt;='Buy Vs Rent Calculator'!$D$13*12,-IPMT('Buy Vs Rent Calculator'!$D$12/12,Table_1[[#This Row],[Column1]],'Buy Vs Rent Calculator'!$D$13*12,'Buy Vs Rent Calculator'!$D$21),0)</f>
        <v>0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2:16" ht="14.25" customHeight="1" x14ac:dyDescent="0.2">
      <c r="B360" s="91">
        <v>356</v>
      </c>
      <c r="C360" s="92">
        <f>IF(Table_1[[#This Row],[Column1]]&lt;='Buy Vs Rent Calculator'!$D$13*12,'Buy Vs Rent Calculator'!$D$22,0)</f>
        <v>0</v>
      </c>
      <c r="D360" s="92">
        <f>IF(Table_1[[#This Row],[Column1]]&lt;='Buy Vs Rent Calculator'!$D$13*12,-PPMT('Buy Vs Rent Calculator'!$D$12/12,Table_1[[#This Row],[Column1]],'Buy Vs Rent Calculator'!$D$13*12,'Buy Vs Rent Calculator'!$D$21),0)</f>
        <v>0</v>
      </c>
      <c r="E360" s="92">
        <f>IF(Table_1[[#This Row],[Column1]]&lt;='Buy Vs Rent Calculator'!$D$13*12,-IPMT('Buy Vs Rent Calculator'!$D$12/12,Table_1[[#This Row],[Column1]],'Buy Vs Rent Calculator'!$D$13*12,'Buy Vs Rent Calculator'!$D$21),0)</f>
        <v>0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2:16" ht="14.25" customHeight="1" x14ac:dyDescent="0.2">
      <c r="B361" s="91">
        <v>357</v>
      </c>
      <c r="C361" s="92">
        <f>IF(Table_1[[#This Row],[Column1]]&lt;='Buy Vs Rent Calculator'!$D$13*12,'Buy Vs Rent Calculator'!$D$22,0)</f>
        <v>0</v>
      </c>
      <c r="D361" s="92">
        <f>IF(Table_1[[#This Row],[Column1]]&lt;='Buy Vs Rent Calculator'!$D$13*12,-PPMT('Buy Vs Rent Calculator'!$D$12/12,Table_1[[#This Row],[Column1]],'Buy Vs Rent Calculator'!$D$13*12,'Buy Vs Rent Calculator'!$D$21),0)</f>
        <v>0</v>
      </c>
      <c r="E361" s="92">
        <f>IF(Table_1[[#This Row],[Column1]]&lt;='Buy Vs Rent Calculator'!$D$13*12,-IPMT('Buy Vs Rent Calculator'!$D$12/12,Table_1[[#This Row],[Column1]],'Buy Vs Rent Calculator'!$D$13*12,'Buy Vs Rent Calculator'!$D$21),0)</f>
        <v>0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2:16" ht="14.25" customHeight="1" x14ac:dyDescent="0.2">
      <c r="B362" s="91">
        <v>358</v>
      </c>
      <c r="C362" s="92">
        <f>IF(Table_1[[#This Row],[Column1]]&lt;='Buy Vs Rent Calculator'!$D$13*12,'Buy Vs Rent Calculator'!$D$22,0)</f>
        <v>0</v>
      </c>
      <c r="D362" s="92">
        <f>IF(Table_1[[#This Row],[Column1]]&lt;='Buy Vs Rent Calculator'!$D$13*12,-PPMT('Buy Vs Rent Calculator'!$D$12/12,Table_1[[#This Row],[Column1]],'Buy Vs Rent Calculator'!$D$13*12,'Buy Vs Rent Calculator'!$D$21),0)</f>
        <v>0</v>
      </c>
      <c r="E362" s="92">
        <f>IF(Table_1[[#This Row],[Column1]]&lt;='Buy Vs Rent Calculator'!$D$13*12,-IPMT('Buy Vs Rent Calculator'!$D$12/12,Table_1[[#This Row],[Column1]],'Buy Vs Rent Calculator'!$D$13*12,'Buy Vs Rent Calculator'!$D$21),0)</f>
        <v>0</v>
      </c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2:16" ht="14.25" customHeight="1" x14ac:dyDescent="0.2">
      <c r="B363" s="91">
        <v>359</v>
      </c>
      <c r="C363" s="92">
        <f>IF(Table_1[[#This Row],[Column1]]&lt;='Buy Vs Rent Calculator'!$D$13*12,'Buy Vs Rent Calculator'!$D$22,0)</f>
        <v>0</v>
      </c>
      <c r="D363" s="92">
        <f>IF(Table_1[[#This Row],[Column1]]&lt;='Buy Vs Rent Calculator'!$D$13*12,-PPMT('Buy Vs Rent Calculator'!$D$12/12,Table_1[[#This Row],[Column1]],'Buy Vs Rent Calculator'!$D$13*12,'Buy Vs Rent Calculator'!$D$21),0)</f>
        <v>0</v>
      </c>
      <c r="E363" s="92">
        <f>IF(Table_1[[#This Row],[Column1]]&lt;='Buy Vs Rent Calculator'!$D$13*12,-IPMT('Buy Vs Rent Calculator'!$D$12/12,Table_1[[#This Row],[Column1]],'Buy Vs Rent Calculator'!$D$13*12,'Buy Vs Rent Calculator'!$D$21),0)</f>
        <v>0</v>
      </c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2:16" ht="14.25" customHeight="1" x14ac:dyDescent="0.2">
      <c r="B364" s="91">
        <v>360</v>
      </c>
      <c r="C364" s="92">
        <f>IF(Table_1[[#This Row],[Column1]]&lt;='Buy Vs Rent Calculator'!$D$13*12,'Buy Vs Rent Calculator'!$D$22,0)</f>
        <v>0</v>
      </c>
      <c r="D364" s="92">
        <f>IF(Table_1[[#This Row],[Column1]]&lt;='Buy Vs Rent Calculator'!$D$13*12,-PPMT('Buy Vs Rent Calculator'!$D$12/12,Table_1[[#This Row],[Column1]],'Buy Vs Rent Calculator'!$D$13*12,'Buy Vs Rent Calculator'!$D$21),0)</f>
        <v>0</v>
      </c>
      <c r="E364" s="92">
        <f>IF(Table_1[[#This Row],[Column1]]&lt;='Buy Vs Rent Calculator'!$D$13*12,-IPMT('Buy Vs Rent Calculator'!$D$12/12,Table_1[[#This Row],[Column1]],'Buy Vs Rent Calculator'!$D$13*12,'Buy Vs Rent Calculator'!$D$21),0)</f>
        <v>0</v>
      </c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2:16" ht="14.25" customHeight="1" x14ac:dyDescent="0.2"/>
    <row r="366" spans="2:16" ht="14.25" customHeight="1" x14ac:dyDescent="0.2"/>
    <row r="367" spans="2:16" ht="14.25" customHeight="1" x14ac:dyDescent="0.2"/>
    <row r="368" spans="2:16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</sheetData>
  <mergeCells count="1">
    <mergeCell ref="C2:E2"/>
  </mergeCell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Buy Vs Rent Calculator</vt:lpstr>
      <vt:lpstr>Backend Engine</vt:lpstr>
      <vt:lpstr>'Buy Vs Rent Calculator'!Print_Area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Balakrishna Hegde</dc:creator>
  <cp:lastModifiedBy>sharan hegde</cp:lastModifiedBy>
  <dcterms:created xsi:type="dcterms:W3CDTF">2021-05-12T05:43:05Z</dcterms:created>
  <dcterms:modified xsi:type="dcterms:W3CDTF">2023-02-06T08:08:47Z</dcterms:modified>
</cp:coreProperties>
</file>