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C8EF66-CA29-4E98-B323-A04235C00A3F}" xr6:coauthVersionLast="36" xr6:coauthVersionMax="43" xr10:uidLastSave="{00000000-0000-0000-0000-000000000000}"/>
  <bookViews>
    <workbookView xWindow="0" yWindow="0" windowWidth="22260" windowHeight="12650" tabRatio="844" activeTab="9" xr2:uid="{00000000-000D-0000-FFFF-FFFF00000000}"/>
  </bookViews>
  <sheets>
    <sheet name="B darbu saraksts" sheetId="13" r:id="rId1"/>
    <sheet name="C darbu saraksts" sheetId="14" r:id="rId2"/>
    <sheet name="B izmaksas" sheetId="1" r:id="rId3"/>
    <sheet name="C izmaksas" sheetId="2" r:id="rId4"/>
    <sheet name="B ieguvumi" sheetId="15" r:id="rId5"/>
    <sheet name="C ieguvumi" sheetId="16" r:id="rId6"/>
    <sheet name="B izdevumi" sheetId="5" r:id="rId7"/>
    <sheet name="C izdevumi" sheetId="6" r:id="rId8"/>
    <sheet name="B vertejums" sheetId="7" r:id="rId9"/>
    <sheet name="C vertejums" sheetId="8" r:id="rId10"/>
    <sheet name="B vai C Izvērtējums " sheetId="10" r:id="rId11"/>
    <sheet name="B ienemumi - deleted" sheetId="3" state="hidden" r:id="rId12"/>
    <sheet name="C ienemumi - deleted" sheetId="4" state="hidden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6" l="1"/>
  <c r="H2" i="16" s="1"/>
  <c r="G3" i="16"/>
  <c r="F3" i="16"/>
  <c r="F2" i="16"/>
  <c r="E3" i="16"/>
  <c r="E4" i="16" s="1"/>
  <c r="G6" i="8" s="1"/>
  <c r="E2" i="16"/>
  <c r="D2" i="16"/>
  <c r="D4" i="16"/>
  <c r="F6" i="8" s="1"/>
  <c r="D3" i="16"/>
  <c r="C3" i="16"/>
  <c r="C2" i="16"/>
  <c r="F2" i="15"/>
  <c r="F3" i="15"/>
  <c r="E3" i="15"/>
  <c r="E2" i="15"/>
  <c r="D2" i="15"/>
  <c r="D3" i="15"/>
  <c r="H3" i="15" s="1"/>
  <c r="C2" i="15"/>
  <c r="C3" i="15"/>
  <c r="B3" i="15"/>
  <c r="G3" i="15"/>
  <c r="E4" i="15"/>
  <c r="G6" i="7" s="1"/>
  <c r="G2" i="15"/>
  <c r="F54" i="1"/>
  <c r="E54" i="1"/>
  <c r="D6" i="8"/>
  <c r="C4" i="16"/>
  <c r="E6" i="8" s="1"/>
  <c r="B2" i="16"/>
  <c r="B3" i="16"/>
  <c r="B2" i="15"/>
  <c r="G4" i="15"/>
  <c r="I6" i="7" s="1"/>
  <c r="H2" i="15"/>
  <c r="F4" i="15"/>
  <c r="H6" i="7" s="1"/>
  <c r="B4" i="15"/>
  <c r="D6" i="7" s="1"/>
  <c r="B4" i="16"/>
  <c r="D8" i="8"/>
  <c r="D9" i="8" s="1"/>
  <c r="I19" i="8"/>
  <c r="H19" i="8"/>
  <c r="G19" i="8"/>
  <c r="F19" i="8"/>
  <c r="E19" i="8"/>
  <c r="D19" i="8"/>
  <c r="B19" i="8"/>
  <c r="I14" i="8"/>
  <c r="H14" i="8"/>
  <c r="G14" i="8"/>
  <c r="F14" i="8"/>
  <c r="E14" i="8"/>
  <c r="D14" i="8"/>
  <c r="B14" i="8"/>
  <c r="L10" i="16"/>
  <c r="L10" i="15"/>
  <c r="G4" i="16" l="1"/>
  <c r="I6" i="8" s="1"/>
  <c r="F4" i="16"/>
  <c r="H6" i="8" s="1"/>
  <c r="C4" i="15"/>
  <c r="E6" i="7" s="1"/>
  <c r="D4" i="15"/>
  <c r="F6" i="7" s="1"/>
  <c r="H4" i="15"/>
  <c r="D20" i="8"/>
  <c r="D10" i="8"/>
  <c r="D15" i="8"/>
  <c r="H3" i="16"/>
  <c r="H4" i="16" s="1"/>
  <c r="F41" i="2" l="1"/>
  <c r="F43" i="2" s="1"/>
  <c r="F54" i="2" s="1"/>
  <c r="E41" i="2"/>
  <c r="E43" i="2" s="1"/>
  <c r="E54" i="2" s="1"/>
  <c r="E52" i="2"/>
  <c r="F52" i="2" s="1"/>
  <c r="E51" i="2"/>
  <c r="F51" i="2" s="1"/>
  <c r="E47" i="2"/>
  <c r="F47" i="2" s="1"/>
  <c r="E46" i="2"/>
  <c r="E48" i="2" s="1"/>
  <c r="F48" i="2" s="1"/>
  <c r="E45" i="2"/>
  <c r="F45" i="2" s="1"/>
  <c r="E37" i="2"/>
  <c r="F37" i="2" s="1"/>
  <c r="E36" i="2"/>
  <c r="F36" i="2" s="1"/>
  <c r="E35" i="2"/>
  <c r="F35" i="2" s="1"/>
  <c r="E34" i="2"/>
  <c r="F34" i="2" s="1"/>
  <c r="E33" i="2"/>
  <c r="E38" i="2" s="1"/>
  <c r="D32" i="2"/>
  <c r="E32" i="2" s="1"/>
  <c r="F32" i="2" s="1"/>
  <c r="F31" i="2"/>
  <c r="E31" i="2"/>
  <c r="F30" i="2"/>
  <c r="E30" i="2"/>
  <c r="F29" i="2"/>
  <c r="E29" i="2"/>
  <c r="E42" i="2" s="1"/>
  <c r="F42" i="2" s="1"/>
  <c r="F22" i="2"/>
  <c r="E22" i="2"/>
  <c r="F21" i="2"/>
  <c r="E21" i="2"/>
  <c r="E20" i="2"/>
  <c r="F20" i="2" s="1"/>
  <c r="F19" i="2"/>
  <c r="E19" i="2"/>
  <c r="E23" i="2" s="1"/>
  <c r="F23" i="2" s="1"/>
  <c r="E14" i="2"/>
  <c r="E15" i="2" s="1"/>
  <c r="F13" i="2"/>
  <c r="E13" i="2"/>
  <c r="F11" i="2"/>
  <c r="E11" i="2"/>
  <c r="F6" i="2"/>
  <c r="E6" i="2"/>
  <c r="E5" i="2"/>
  <c r="F5" i="2" s="1"/>
  <c r="E4" i="2"/>
  <c r="E7" i="2" s="1"/>
  <c r="C87" i="13"/>
  <c r="C88" i="13" s="1"/>
  <c r="D57" i="13"/>
  <c r="C88" i="14"/>
  <c r="C87" i="14"/>
  <c r="C3" i="14"/>
  <c r="C77" i="14"/>
  <c r="C67" i="14"/>
  <c r="C57" i="14"/>
  <c r="C46" i="14"/>
  <c r="C35" i="14"/>
  <c r="C25" i="14"/>
  <c r="C13" i="14"/>
  <c r="C77" i="13"/>
  <c r="C67" i="13"/>
  <c r="C46" i="13"/>
  <c r="D32" i="1"/>
  <c r="C35" i="13"/>
  <c r="C25" i="13"/>
  <c r="C13" i="13"/>
  <c r="C3" i="13"/>
  <c r="E9" i="2" l="1"/>
  <c r="E16" i="2" s="1"/>
  <c r="E25" i="2" s="1"/>
  <c r="E8" i="2"/>
  <c r="F38" i="2"/>
  <c r="F40" i="2" s="1"/>
  <c r="E39" i="2"/>
  <c r="F39" i="2" s="1"/>
  <c r="E40" i="2"/>
  <c r="F46" i="2"/>
  <c r="F14" i="2"/>
  <c r="F15" i="2" s="1"/>
  <c r="F33" i="2"/>
  <c r="F4" i="2"/>
  <c r="F7" i="2" s="1"/>
  <c r="F8" i="2" l="1"/>
  <c r="F9" i="2" s="1"/>
  <c r="F16" i="2" s="1"/>
  <c r="F25" i="2" s="1"/>
  <c r="F55" i="2" l="1"/>
  <c r="F56" i="2" s="1"/>
  <c r="E55" i="2"/>
  <c r="E56" i="2" s="1"/>
  <c r="E5" i="1" l="1"/>
  <c r="F5" i="1" s="1"/>
  <c r="B19" i="7" l="1"/>
  <c r="B14" i="7"/>
  <c r="G33" i="3"/>
  <c r="G32" i="3"/>
  <c r="G14" i="3"/>
  <c r="G15" i="3"/>
  <c r="G24" i="3"/>
  <c r="G31" i="3"/>
  <c r="G23" i="3"/>
  <c r="G22" i="3"/>
  <c r="I14" i="7"/>
  <c r="H14" i="7"/>
  <c r="G14" i="7"/>
  <c r="F14" i="7"/>
  <c r="E14" i="7"/>
  <c r="D14" i="7"/>
  <c r="J25" i="3"/>
  <c r="H25" i="3"/>
  <c r="F25" i="3"/>
  <c r="D25" i="3"/>
  <c r="K25" i="3"/>
  <c r="G13" i="3"/>
  <c r="F16" i="3"/>
  <c r="H16" i="3"/>
  <c r="D16" i="3"/>
  <c r="J16" i="3"/>
  <c r="I6" i="3"/>
  <c r="J6" i="3" s="1"/>
  <c r="K6" i="3" s="1"/>
  <c r="I5" i="3"/>
  <c r="I4" i="3"/>
  <c r="H6" i="3"/>
  <c r="J7" i="3"/>
  <c r="H7" i="3"/>
  <c r="K7" i="3" s="1"/>
  <c r="E45" i="1"/>
  <c r="E29" i="1"/>
  <c r="E30" i="1"/>
  <c r="F30" i="1" s="1"/>
  <c r="E35" i="1"/>
  <c r="F35" i="1" s="1"/>
  <c r="F29" i="1" l="1"/>
  <c r="D19" i="7"/>
  <c r="E19" i="7"/>
  <c r="G19" i="7"/>
  <c r="H19" i="7"/>
  <c r="I19" i="7"/>
  <c r="F19" i="7"/>
  <c r="K16" i="3"/>
  <c r="H4" i="3"/>
  <c r="H5" i="3"/>
  <c r="H31" i="3"/>
  <c r="K31" i="3" s="1"/>
  <c r="H32" i="3"/>
  <c r="K32" i="3" s="1"/>
  <c r="H33" i="3"/>
  <c r="K33" i="3"/>
  <c r="D34" i="3"/>
  <c r="F34" i="3"/>
  <c r="H34" i="3"/>
  <c r="J34" i="3"/>
  <c r="K34" i="3"/>
  <c r="H23" i="3"/>
  <c r="K23" i="3" s="1"/>
  <c r="H24" i="3"/>
  <c r="K24" i="3" s="1"/>
  <c r="H22" i="3"/>
  <c r="K22" i="3"/>
  <c r="D11" i="4"/>
  <c r="F11" i="4"/>
  <c r="H11" i="4"/>
  <c r="J11" i="4"/>
  <c r="K11" i="4"/>
  <c r="K12" i="4"/>
  <c r="B10" i="6"/>
  <c r="B11" i="6"/>
  <c r="C10" i="6"/>
  <c r="C11" i="6"/>
  <c r="D10" i="6"/>
  <c r="D11" i="6"/>
  <c r="E10" i="6"/>
  <c r="E11" i="6"/>
  <c r="F10" i="6"/>
  <c r="F11" i="6"/>
  <c r="G10" i="6"/>
  <c r="G11" i="6"/>
  <c r="H10" i="6"/>
  <c r="H11" i="6"/>
  <c r="I10" i="6"/>
  <c r="I11" i="6"/>
  <c r="J10" i="6"/>
  <c r="J11" i="6"/>
  <c r="K10" i="6"/>
  <c r="K11" i="6"/>
  <c r="L10" i="6"/>
  <c r="L11" i="6"/>
  <c r="M10" i="6"/>
  <c r="M11" i="6"/>
  <c r="M12" i="6"/>
  <c r="J4" i="4"/>
  <c r="K4" i="4"/>
  <c r="K5" i="4"/>
  <c r="E31" i="1"/>
  <c r="F31" i="1" s="1"/>
  <c r="E32" i="1"/>
  <c r="E33" i="1"/>
  <c r="E34" i="1"/>
  <c r="F34" i="1" s="1"/>
  <c r="E36" i="1"/>
  <c r="F36" i="1" s="1"/>
  <c r="E37" i="1"/>
  <c r="E46" i="1"/>
  <c r="F46" i="1" s="1"/>
  <c r="E47" i="1"/>
  <c r="F47" i="1" s="1"/>
  <c r="E51" i="1"/>
  <c r="F51" i="1" s="1"/>
  <c r="E52" i="1"/>
  <c r="F52" i="1" s="1"/>
  <c r="E11" i="1"/>
  <c r="E13" i="1" s="1"/>
  <c r="E14" i="1" s="1"/>
  <c r="E4" i="1"/>
  <c r="E7" i="1" s="1"/>
  <c r="E6" i="1"/>
  <c r="F6" i="1" s="1"/>
  <c r="E19" i="1"/>
  <c r="E20" i="1"/>
  <c r="F20" i="1" s="1"/>
  <c r="E21" i="1"/>
  <c r="F21" i="1" s="1"/>
  <c r="E22" i="1"/>
  <c r="F22" i="1" s="1"/>
  <c r="B11" i="5"/>
  <c r="B14" i="5" s="1"/>
  <c r="C11" i="5"/>
  <c r="C14" i="5"/>
  <c r="D11" i="5"/>
  <c r="D14" i="5"/>
  <c r="E11" i="5"/>
  <c r="E14" i="5" s="1"/>
  <c r="F11" i="5"/>
  <c r="F14" i="5"/>
  <c r="G11" i="5"/>
  <c r="G14" i="5"/>
  <c r="H11" i="5"/>
  <c r="H14" i="5" s="1"/>
  <c r="I11" i="5"/>
  <c r="I14" i="5" s="1"/>
  <c r="J11" i="5"/>
  <c r="J14" i="5"/>
  <c r="K11" i="5"/>
  <c r="K14" i="5" s="1"/>
  <c r="L11" i="5"/>
  <c r="L14" i="5" s="1"/>
  <c r="M11" i="5"/>
  <c r="M14" i="5"/>
  <c r="H13" i="3"/>
  <c r="K13" i="3" s="1"/>
  <c r="H14" i="3"/>
  <c r="K14" i="3" s="1"/>
  <c r="H15" i="3"/>
  <c r="K15" i="3" s="1"/>
  <c r="J5" i="3"/>
  <c r="K5" i="3" s="1"/>
  <c r="J4" i="3"/>
  <c r="K4" i="3"/>
  <c r="F45" i="1"/>
  <c r="F37" i="1"/>
  <c r="F19" i="1"/>
  <c r="F32" i="1" l="1"/>
  <c r="F41" i="1" s="1"/>
  <c r="E41" i="1"/>
  <c r="F33" i="1"/>
  <c r="E38" i="1"/>
  <c r="F4" i="1"/>
  <c r="F7" i="1" s="1"/>
  <c r="F8" i="1" s="1"/>
  <c r="F9" i="1" s="1"/>
  <c r="F38" i="1"/>
  <c r="F11" i="1"/>
  <c r="F13" i="1" s="1"/>
  <c r="F14" i="1" s="1"/>
  <c r="F15" i="1" s="1"/>
  <c r="M15" i="5"/>
  <c r="K35" i="3"/>
  <c r="K26" i="3"/>
  <c r="K17" i="3"/>
  <c r="K8" i="3"/>
  <c r="D8" i="7" s="1"/>
  <c r="D9" i="7" s="1"/>
  <c r="D10" i="7" s="1"/>
  <c r="E8" i="1"/>
  <c r="E9" i="1" s="1"/>
  <c r="E15" i="1"/>
  <c r="E23" i="1"/>
  <c r="E48" i="1"/>
  <c r="F48" i="1" s="1"/>
  <c r="E43" i="1" l="1"/>
  <c r="E42" i="1"/>
  <c r="F42" i="1" s="1"/>
  <c r="F43" i="1"/>
  <c r="F7" i="7"/>
  <c r="F8" i="7" s="1"/>
  <c r="F9" i="7" s="1"/>
  <c r="F10" i="7" s="1"/>
  <c r="E7" i="8"/>
  <c r="E8" i="8" s="1"/>
  <c r="E9" i="8" s="1"/>
  <c r="I7" i="8"/>
  <c r="I8" i="8" s="1"/>
  <c r="I9" i="8" s="1"/>
  <c r="H7" i="8"/>
  <c r="H8" i="8" s="1"/>
  <c r="H9" i="8" s="1"/>
  <c r="G7" i="8"/>
  <c r="G8" i="8" s="1"/>
  <c r="G9" i="8" s="1"/>
  <c r="F7" i="8"/>
  <c r="F8" i="8" s="1"/>
  <c r="F9" i="8" s="1"/>
  <c r="F16" i="1"/>
  <c r="E39" i="1"/>
  <c r="E40" i="1" s="1"/>
  <c r="I7" i="7"/>
  <c r="H7" i="7"/>
  <c r="E7" i="7"/>
  <c r="E8" i="7" s="1"/>
  <c r="E9" i="7" s="1"/>
  <c r="E10" i="7" s="1"/>
  <c r="G7" i="7"/>
  <c r="G8" i="7" s="1"/>
  <c r="G9" i="7" s="1"/>
  <c r="G10" i="7" s="1"/>
  <c r="D15" i="7"/>
  <c r="D20" i="7"/>
  <c r="F23" i="1"/>
  <c r="F25" i="1" s="1"/>
  <c r="E16" i="1"/>
  <c r="E25" i="1" s="1"/>
  <c r="H10" i="8" l="1"/>
  <c r="H15" i="8"/>
  <c r="H20" i="8"/>
  <c r="I15" i="8"/>
  <c r="I10" i="8"/>
  <c r="I20" i="8"/>
  <c r="F15" i="8"/>
  <c r="F20" i="8"/>
  <c r="F10" i="8"/>
  <c r="G15" i="8"/>
  <c r="G20" i="8"/>
  <c r="G10" i="8"/>
  <c r="E15" i="8"/>
  <c r="E20" i="8"/>
  <c r="E10" i="8"/>
  <c r="F39" i="1"/>
  <c r="F40" i="1" s="1"/>
  <c r="F55" i="1" s="1"/>
  <c r="F56" i="1" s="1"/>
  <c r="I8" i="7"/>
  <c r="G15" i="7"/>
  <c r="G20" i="7"/>
  <c r="E20" i="7"/>
  <c r="E15" i="7"/>
  <c r="H8" i="7"/>
  <c r="E55" i="1"/>
  <c r="E56" i="1" s="1"/>
  <c r="D11" i="7" l="1"/>
  <c r="D12" i="7" s="1"/>
  <c r="E12" i="7" s="1"/>
  <c r="F12" i="7" s="1"/>
  <c r="G12" i="7" s="1"/>
  <c r="D11" i="8"/>
  <c r="D12" i="8" s="1"/>
  <c r="E12" i="8" s="1"/>
  <c r="F12" i="8" s="1"/>
  <c r="G12" i="8" s="1"/>
  <c r="H12" i="8" s="1"/>
  <c r="I12" i="8" s="1"/>
  <c r="C26" i="8"/>
  <c r="I21" i="8"/>
  <c r="I16" i="8"/>
  <c r="H9" i="7"/>
  <c r="H10" i="7" s="1"/>
  <c r="I9" i="7"/>
  <c r="I10" i="7" s="1"/>
  <c r="F15" i="7"/>
  <c r="F20" i="7"/>
  <c r="I17" i="8" l="1"/>
  <c r="I22" i="8"/>
  <c r="C28" i="8"/>
  <c r="C25" i="8" s="1"/>
  <c r="I15" i="7"/>
  <c r="C26" i="7" s="1"/>
  <c r="C28" i="7"/>
  <c r="C25" i="7" s="1"/>
  <c r="I20" i="7"/>
  <c r="H20" i="7"/>
  <c r="H15" i="7"/>
  <c r="H12" i="7"/>
  <c r="I12" i="7" s="1"/>
  <c r="C24" i="8" l="1"/>
  <c r="I16" i="7"/>
  <c r="I17" i="7" s="1"/>
  <c r="I21" i="7"/>
  <c r="I22" i="7" s="1"/>
  <c r="C24" i="7" l="1"/>
</calcChain>
</file>

<file path=xl/sharedStrings.xml><?xml version="1.0" encoding="utf-8"?>
<sst xmlns="http://schemas.openxmlformats.org/spreadsheetml/2006/main" count="624" uniqueCount="250">
  <si>
    <t>Izmaksas pozīcija</t>
  </si>
  <si>
    <t>Mērvienība</t>
  </si>
  <si>
    <t>1 mēn. alga / vien. Cena EUR</t>
  </si>
  <si>
    <t>Mēn / vien. Skaits</t>
  </si>
  <si>
    <t>Kopā bez PVN</t>
  </si>
  <si>
    <t>Kopā ar PVN</t>
  </si>
  <si>
    <t>Projekta vadīšanas izmaksas</t>
  </si>
  <si>
    <t>Projekta komandas izmaksas</t>
  </si>
  <si>
    <t>Projekta vadītājs</t>
  </si>
  <si>
    <t>mēn</t>
  </si>
  <si>
    <t>Kopā Projekta komandas darba samaksa:</t>
  </si>
  <si>
    <t>Valsts sociālās apdoršināšanas iemaksas (darba devēja soc.nod. 24,09%)</t>
  </si>
  <si>
    <t>Kopā darba samaksa un d.d.soc.nod.:</t>
  </si>
  <si>
    <t>Ārējā personāla darba samaksa</t>
  </si>
  <si>
    <t>Grāmatvedība</t>
  </si>
  <si>
    <t>Kopā ārējā personāla darba samaksa:</t>
  </si>
  <si>
    <t>Kopā projekta vadības darba samaksa:</t>
  </si>
  <si>
    <t>Projekta biroja uzturēšanas izdevumi:</t>
  </si>
  <si>
    <t>Sakaru pakalpojumi</t>
  </si>
  <si>
    <t>Kancelejas piederumi</t>
  </si>
  <si>
    <t>Programmatūras licenses</t>
  </si>
  <si>
    <t>Transporta izdevumi</t>
  </si>
  <si>
    <t>Kopā projekta biroja uzturēšanas izdevumi:</t>
  </si>
  <si>
    <t>Kopā projekta vadīšanas izmaksas:</t>
  </si>
  <si>
    <t>Projekta produkta izstrādes un ieviešanas izmaksas:</t>
  </si>
  <si>
    <t>Pieņemtie darbinieki</t>
  </si>
  <si>
    <t>Grafiskais dizaineris</t>
  </si>
  <si>
    <t>Programmētājs</t>
  </si>
  <si>
    <t>men</t>
  </si>
  <si>
    <t>Kursu vadītājs</t>
  </si>
  <si>
    <t>Pieņemto darbinieku darba samaksa</t>
  </si>
  <si>
    <t>Valsts sociālās apdrošināšanas iemaksas (darba devēja soc.nod. 24,09%)</t>
  </si>
  <si>
    <t>Skolotāju kursu apmācību nodrošinājums</t>
  </si>
  <si>
    <t>Telpu īre apmācībām</t>
  </si>
  <si>
    <t>m2 / mēn</t>
  </si>
  <si>
    <t>Kafija un uzkodas skolotājiem</t>
  </si>
  <si>
    <t>Kancelejas preces</t>
  </si>
  <si>
    <t>gab</t>
  </si>
  <si>
    <t>Kursu izmaksas kopā</t>
  </si>
  <si>
    <t>Tehniskais aprīkojums</t>
  </si>
  <si>
    <t>Tehniskā aprikojuma izmaksas kopā</t>
  </si>
  <si>
    <t>Kopā produkta izstrādes un ieviešanas izmaksas</t>
  </si>
  <si>
    <t>Neparedzēties izdevumi (10%):</t>
  </si>
  <si>
    <t>Kopā projekta izmaksas (projekta budžets):</t>
  </si>
  <si>
    <t>0. gads</t>
  </si>
  <si>
    <t>Prod. / pakalp. Veidi</t>
  </si>
  <si>
    <t>Prod. Pakalp. Vid cena EUR</t>
  </si>
  <si>
    <t>1. cet</t>
  </si>
  <si>
    <t>2. cet</t>
  </si>
  <si>
    <t>3. cet</t>
  </si>
  <si>
    <t>4. cet</t>
  </si>
  <si>
    <t>Kopā gadā</t>
  </si>
  <si>
    <t>Daudzums</t>
  </si>
  <si>
    <t>Ieņēmumi</t>
  </si>
  <si>
    <t>10. - 12. klases materiāli</t>
  </si>
  <si>
    <t>Izglītojošie kursi skolotājiem</t>
  </si>
  <si>
    <t>Tālākizglītības kursi</t>
  </si>
  <si>
    <t>Kopā</t>
  </si>
  <si>
    <t>1. gads</t>
  </si>
  <si>
    <t>2. gads</t>
  </si>
  <si>
    <t>1. - 10. gads</t>
  </si>
  <si>
    <t>Posteņi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</si>
  <si>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</si>
  <si>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</si>
  <si>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</si>
  <si>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</si>
  <si>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</si>
  <si>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</si>
  <si>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</si>
  <si>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</si>
  <si>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</si>
  <si>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</si>
  <si>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</si>
  <si>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</si>
  <si>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Fiksētās Izmaksas</t>
  </si>
  <si>
    <t>Mākoņpakalpojumi</t>
  </si>
  <si>
    <t>Grāmatvedības pakalpojumi</t>
  </si>
  <si>
    <t>Mainīgās izmaksas</t>
  </si>
  <si>
    <t>Satura konsultants</t>
  </si>
  <si>
    <t>VSAA</t>
  </si>
  <si>
    <t>Telpu īre</t>
  </si>
  <si>
    <t>Kopā mēnesī</t>
  </si>
  <si>
    <t>Kopā gadā bez PVN</t>
  </si>
  <si>
    <t>Gads</t>
  </si>
  <si>
    <t>Pozīcija</t>
  </si>
  <si>
    <t>Izdevumi</t>
  </si>
  <si>
    <t>Pirmsnodokļu ienākums</t>
  </si>
  <si>
    <t>Tīrā naudas plūsma (CF)</t>
  </si>
  <si>
    <t>Tīra peļņa ROI aprēķ.</t>
  </si>
  <si>
    <t>Projekta investīcijas (IC)</t>
  </si>
  <si>
    <t>Uzkrājošā naudas plūsma (CCF)</t>
  </si>
  <si>
    <t>Diskontētā naudas plūsma</t>
  </si>
  <si>
    <t>Projekta kapitāla kopējā tagadnes vērtība (PV)</t>
  </si>
  <si>
    <t>Proejtka kapitāla tīrā tagadnes vērtība (NPV)</t>
  </si>
  <si>
    <t>IRR</t>
  </si>
  <si>
    <t>ROI</t>
  </si>
  <si>
    <t>PI</t>
  </si>
  <si>
    <t>GVI</t>
  </si>
  <si>
    <t>Punkti</t>
  </si>
  <si>
    <t>Kritēriji</t>
  </si>
  <si>
    <t>Alternatīvas</t>
  </si>
  <si>
    <t>B</t>
  </si>
  <si>
    <t>C</t>
  </si>
  <si>
    <t>Vai projekts nodrošina padziļināto prasmju attīstību pamatskolās?</t>
  </si>
  <si>
    <t>X</t>
  </si>
  <si>
    <t>Vai projekts nodrošina padziļināto prasmju attīstību vidusskolās?</t>
  </si>
  <si>
    <t>Vai projekts nodrošina tālākizglītību padziļinātām datorprasmēm?</t>
  </si>
  <si>
    <t>Vai projekts nodrošina fonda popularizēšanu valstī</t>
  </si>
  <si>
    <t>Vai projekts uzlabo DESI radītājus valstī?</t>
  </si>
  <si>
    <t>Vai projekts palielinās ITK sektorā strādājošo skaitu?</t>
  </si>
  <si>
    <t>Vai projekts ir pelnošs / izdevīgs</t>
  </si>
  <si>
    <t>Iegūtie punkti</t>
  </si>
  <si>
    <t>B:</t>
  </si>
  <si>
    <t>C:</t>
  </si>
  <si>
    <t>Testētājs</t>
  </si>
  <si>
    <t>3. - 5. gads</t>
  </si>
  <si>
    <t>1. - 4. klases materiāli</t>
  </si>
  <si>
    <t>5. - 9. klases materiāli</t>
  </si>
  <si>
    <t>0.gads</t>
  </si>
  <si>
    <t>r1</t>
  </si>
  <si>
    <t>r2</t>
  </si>
  <si>
    <t>1-5. gads</t>
  </si>
  <si>
    <t>ieguvumi</t>
  </si>
  <si>
    <t>Projekta vadītāja tehniskais asistents</t>
  </si>
  <si>
    <t>Projekta vadītāja mācību satura asistents</t>
  </si>
  <si>
    <t>Izglītības sākumskolas materiāli</t>
  </si>
  <si>
    <t>Izglītības pamatskolas materiāli</t>
  </si>
  <si>
    <t>Izglītības vidusskolas materiāli</t>
  </si>
  <si>
    <t>Video filmēšana un apstrāde</t>
  </si>
  <si>
    <t>min</t>
  </si>
  <si>
    <t>B alternatīvas iespējamo darbu saraksts</t>
  </si>
  <si>
    <t>Fāze</t>
  </si>
  <si>
    <t>Darbi</t>
  </si>
  <si>
    <t>Ilgums</t>
  </si>
  <si>
    <t>Starts</t>
  </si>
  <si>
    <t>Sākuma termiņš, beigu termiņš</t>
  </si>
  <si>
    <t>Projekta uzdevuma sastādīšana un saskaņošana ar uzdevumu devēju</t>
  </si>
  <si>
    <t>Projekta uzdeuvma analīze</t>
  </si>
  <si>
    <t>Projekta interesentu analīze</t>
  </si>
  <si>
    <t>Projekta organizatoriskās struktūras analīze</t>
  </si>
  <si>
    <t>Projekta starta dokumentācijas sagatavošana</t>
  </si>
  <si>
    <t>Kick-off sanāksmes organizācija</t>
  </si>
  <si>
    <t>Kick-off sanāksmes novadīšana</t>
  </si>
  <si>
    <t>Projekta struktūrplāna izveide</t>
  </si>
  <si>
    <t>Projekta gaitas plāna izveide</t>
  </si>
  <si>
    <t>Projekta laika un termiņu plāna sastādīšana</t>
  </si>
  <si>
    <t>Projekta resursu plāna sastādīšana</t>
  </si>
  <si>
    <t>Projekta izmaksu plāna sastādīšana</t>
  </si>
  <si>
    <t>Projekta robežstabu plānošana</t>
  </si>
  <si>
    <t>Projekta finanšu plāna sastādīšana</t>
  </si>
  <si>
    <t>Plānošanas noslēguma sanāksme</t>
  </si>
  <si>
    <t>Rokasgrāmatas izstrāde un saskaņošana</t>
  </si>
  <si>
    <t>2. robežstabā iegūstamie rezultāti:
Sagatavoti projekta turpmākās realizācijas plāni, notikusi
plānošanas noslēguma sanāksme, izstrādāta projekta
rokasgrāmata.</t>
  </si>
  <si>
    <t>1. robežstabā iegūstamie rezultāti:
Sastādīts un saskaņots projekta uzdevums, veikta
uzdevuma analīze, projekta organizatoriskās struktūras
izveide, novadīta kick-off sanāksme</t>
  </si>
  <si>
    <t>Plānošana</t>
  </si>
  <si>
    <t>Izpēte</t>
  </si>
  <si>
    <t>Mācību materiālu izpēte</t>
  </si>
  <si>
    <t>Skola 2030 prasību izpēte</t>
  </si>
  <si>
    <t>Pirmkoda kvalitātes izpēte</t>
  </si>
  <si>
    <t>Skolotāju zināšanu izpēte</t>
  </si>
  <si>
    <t>Darbaspēka tirgus izpēte</t>
  </si>
  <si>
    <t>Projekt ziņojuma sastādīšana par izpētes fāzi</t>
  </si>
  <si>
    <t>3. robežstaba</t>
  </si>
  <si>
    <t>Pamatkoncepcija</t>
  </si>
  <si>
    <t>Pamatkoncepcijas fāzes plāna korekcija</t>
  </si>
  <si>
    <t xml:space="preserve">Eksistējošā mācību materiālu kopsavilkums </t>
  </si>
  <si>
    <t>Pirmkoda kvalitātes apkopojums</t>
  </si>
  <si>
    <t>Skolotāju zināšanu izpētes apkopojums</t>
  </si>
  <si>
    <t>Skola 2030 prasību apkopojums</t>
  </si>
  <si>
    <t>Prasību izveidošana ārējiem resursiem</t>
  </si>
  <si>
    <t>Projekta ziņojuma sagatavošana par pamatkoncepcijas fāzi</t>
  </si>
  <si>
    <t>Detaļkoncepcija</t>
  </si>
  <si>
    <t>Detaļkoncepcijas fāzes plāna korekcija</t>
  </si>
  <si>
    <t>Nepieciešamo mācību materiālu saraksta izveidošana</t>
  </si>
  <si>
    <t>Mācību materiālu vadlīniju izstrāde</t>
  </si>
  <si>
    <t>Pirmkoda uzlabojumu saraksta izstrāde</t>
  </si>
  <si>
    <t>Skolotāju apmācību kursu prasību  izstrāde</t>
  </si>
  <si>
    <t>Sadarbības līgumu izstrāde</t>
  </si>
  <si>
    <t>Video materiālu prasību izstrāde</t>
  </si>
  <si>
    <t>Projekta ziņojuma sagatavošana par Detaļkoncepcijas fāzi</t>
  </si>
  <si>
    <t>Realizācija</t>
  </si>
  <si>
    <t>Realizācijas fāzes plāna korekcija</t>
  </si>
  <si>
    <t>Līgumu slēgšana ar ārējiem resursiem</t>
  </si>
  <si>
    <t>Nepieciešamo mācību materiālu izstrāde</t>
  </si>
  <si>
    <t>Tīmekļa vietnes uzlabojumu ieviešana</t>
  </si>
  <si>
    <t>Video materiālu  izstrāde</t>
  </si>
  <si>
    <t>Skolotāju kursu sagatavošana</t>
  </si>
  <si>
    <t>Video materiālu filmēšanas izpēte</t>
  </si>
  <si>
    <t>Video materiālu filmēšanas apkopojums</t>
  </si>
  <si>
    <t>Projekta ziņojuma sastādīšana par Realizācijas fāzi</t>
  </si>
  <si>
    <t>Ieviešana</t>
  </si>
  <si>
    <t>Kontrole pēc starta fāzes</t>
  </si>
  <si>
    <t>Kontrole pēc plānošanas fāzes</t>
  </si>
  <si>
    <t>Kontrole pēc izpētes fāzes</t>
  </si>
  <si>
    <t>Kontrole pēc pamatkoncepcijas fāzes</t>
  </si>
  <si>
    <t>4. robēzstaba iegūstamie rezultāti</t>
  </si>
  <si>
    <t>Kontrole pēc detaļkoncepcijas fāzes</t>
  </si>
  <si>
    <t>5. robežstabā iegūstamie rezultāti</t>
  </si>
  <si>
    <t>Kontrole pēc realizācijas fāzes</t>
  </si>
  <si>
    <t>6. robežstaba  iegūstamie rezultāti</t>
  </si>
  <si>
    <t>Ieveišanas fāzes plāna korekcija</t>
  </si>
  <si>
    <t>Mācību materiālu pieņemšana - nodošana</t>
  </si>
  <si>
    <t>Tīmekļa vietnes uzlabojumu pieņemšana - nodošana</t>
  </si>
  <si>
    <t>Video materiālu pieņemšana - nodošana</t>
  </si>
  <si>
    <t>Skolotāju pilotkursa novadīšana</t>
  </si>
  <si>
    <t>Tīmekļa vietnes  uzturētāja un mācību materiālu konsultanta apmācības</t>
  </si>
  <si>
    <t>Projekta ziņojuma sastādīšana par Ieviešanas fāzi</t>
  </si>
  <si>
    <t>Noslēgums</t>
  </si>
  <si>
    <t>Projekta pieņemšanas - nodošanas akta parakstīšana</t>
  </si>
  <si>
    <t>Projekta faktisko izmaksu izrēķināšana</t>
  </si>
  <si>
    <t>Projekta pieredzes apkopošana</t>
  </si>
  <si>
    <t>Gala atskaites sastādīšana</t>
  </si>
  <si>
    <t>Projekta dokumentācijas sakārtošana un nodošana</t>
  </si>
  <si>
    <t>Projekta noslēguma sanāksmes organizēšana</t>
  </si>
  <si>
    <t>Projekta komandas atbrīvošana</t>
  </si>
  <si>
    <t>Saistošo normatīvo aktu izpēte</t>
  </si>
  <si>
    <t>Padziļināto digitālo prasmju piedāvājuma klāsta izpēte</t>
  </si>
  <si>
    <t>Saistošo normatīvo aktu kopsavilkums</t>
  </si>
  <si>
    <t>Padziļināto digitālo prasmju piedāvājuma klāsta apkopojums</t>
  </si>
  <si>
    <t>Apmācību kursu prasību izstrāde</t>
  </si>
  <si>
    <t>Apmācību kursu satura izstrāde</t>
  </si>
  <si>
    <t>Apmācību piotkursa novadīšana</t>
  </si>
  <si>
    <t>Kontrole pēc ieviešanas fāzes</t>
  </si>
  <si>
    <t>7. robežstaba iegūstamie rezultāti</t>
  </si>
  <si>
    <t xml:space="preserve">Kopējais darba dienu skaits: </t>
  </si>
  <si>
    <t>Projekta A alternatīvas kopējais ilgums (mēnešos):</t>
  </si>
  <si>
    <t>Ilgums 70</t>
  </si>
  <si>
    <t>Autoratlīdzības nodoklis 5%</t>
  </si>
  <si>
    <t>Tīmekļa vietnes izstrādes tehniskā nodrošinājuma izmaksas</t>
  </si>
  <si>
    <t>Programmēšanas mācību materiāli</t>
  </si>
  <si>
    <t>Iiesācēju līmeņa mācību materiāli</t>
  </si>
  <si>
    <t>Datorzinātnes mācību materiāli</t>
  </si>
  <si>
    <t>Autoru izveidoto mācību materiālu izmaksas</t>
  </si>
  <si>
    <t>Kopā par autoru izveidotiem mācību materiāliem</t>
  </si>
  <si>
    <t>PVN</t>
  </si>
  <si>
    <t>IIN</t>
  </si>
  <si>
    <t>1.gads</t>
  </si>
  <si>
    <t>2.gads</t>
  </si>
  <si>
    <t>3.gads</t>
  </si>
  <si>
    <t>4.gads</t>
  </si>
  <si>
    <t>5.gads</t>
  </si>
  <si>
    <t>https://www.vid.gov.lv/sites/default/files/vid_admin_kopbudzeta_ienemumi_2017.xlsx</t>
  </si>
  <si>
    <t xml:space="preserve">Datoru, individuālās lietošanas priekšmetu un mājsaimniecības piederumu remonts                                                                                                                                                                           </t>
  </si>
  <si>
    <t xml:space="preserve">Informācijas pakalpojumi                                                                                                                                                                                                                                  </t>
  </si>
  <si>
    <t xml:space="preserve">Datorprogrammēšana, konsultēšana un saistītas darbības                                                                                                                                                                                                    </t>
  </si>
  <si>
    <t>Pievienotās vērtības nodokļa ieņēmumi, EUR</t>
  </si>
  <si>
    <t>Iedzīvotāju ienākuma nodokļa ieņēmumi, EUR</t>
  </si>
  <si>
    <t xml:space="preserve">Izglītība                                                                                                                                                                                                                                                 </t>
  </si>
  <si>
    <t>Ieguvumi</t>
  </si>
  <si>
    <t>1.gads -5. gads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</si>
</sst>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1]"/>
    <numFmt numFmtId="165" formatCode="#,##0.0000"/>
    <numFmt numFmtId="166" formatCode="0.0000"/>
    <numFmt numFmtId="171" formatCode="#,##0.00\ [$€-426]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  <charset val="186"/>
    </font>
    <font>
      <b/>
      <sz val="10"/>
      <color theme="0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12069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7" fillId="0" borderId="0" xfId="0" applyFont="1"/>
    <xf numFmtId="164" fontId="6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/>
    <xf numFmtId="4" fontId="9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10" fillId="3" borderId="4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0" fontId="10" fillId="3" borderId="5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4" fontId="9" fillId="0" borderId="0" xfId="0" applyNumberFormat="1" applyFont="1" applyBorder="1" applyAlignment="1">
      <alignment vertical="center"/>
    </xf>
    <xf numFmtId="4" fontId="9" fillId="0" borderId="6" xfId="0" applyNumberFormat="1" applyFont="1" applyBorder="1" applyAlignment="1">
      <alignment vertic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2502-18AD-41A7-8CEF-FC1AA4F2B477}">
  <dimension ref="A1:E88"/>
  <sheetViews>
    <sheetView topLeftCell="A56" zoomScale="115" zoomScaleNormal="115" workbookViewId="0">
      <selection activeCell="C88" sqref="C88"/>
    </sheetView>
  </sheetViews>
  <sheetFormatPr defaultRowHeight="14.5" x14ac:dyDescent="0.35"/>
  <cols>
    <col min="1" max="1" width="15.26953125" bestFit="1" customWidth="1"/>
    <col min="2" max="2" width="60.7265625" customWidth="1"/>
    <col min="3" max="3" width="11.81640625" bestFit="1" customWidth="1"/>
  </cols>
  <sheetData>
    <row r="1" spans="1:5" x14ac:dyDescent="0.35">
      <c r="A1" s="34" t="s">
        <v>130</v>
      </c>
      <c r="B1" s="34"/>
      <c r="C1" s="34"/>
      <c r="D1" s="16"/>
      <c r="E1" s="16"/>
    </row>
    <row r="2" spans="1:5" x14ac:dyDescent="0.35">
      <c r="A2" s="12" t="s">
        <v>131</v>
      </c>
      <c r="B2" s="12" t="s">
        <v>132</v>
      </c>
      <c r="C2" s="12" t="s">
        <v>133</v>
      </c>
    </row>
    <row r="3" spans="1:5" x14ac:dyDescent="0.35">
      <c r="A3" s="12" t="s">
        <v>134</v>
      </c>
      <c r="B3" s="12" t="s">
        <v>135</v>
      </c>
      <c r="C3" s="12">
        <f>SUM(C4:C11)</f>
        <v>8</v>
      </c>
    </row>
    <row r="4" spans="1:5" x14ac:dyDescent="0.35">
      <c r="A4" s="10">
        <v>1</v>
      </c>
      <c r="B4" s="43" t="s">
        <v>136</v>
      </c>
      <c r="C4">
        <v>1</v>
      </c>
    </row>
    <row r="5" spans="1:5" x14ac:dyDescent="0.35">
      <c r="A5">
        <v>2</v>
      </c>
      <c r="B5" s="43" t="s">
        <v>137</v>
      </c>
      <c r="C5">
        <v>1</v>
      </c>
    </row>
    <row r="6" spans="1:5" x14ac:dyDescent="0.35">
      <c r="A6">
        <v>3</v>
      </c>
      <c r="B6" s="43" t="s">
        <v>138</v>
      </c>
      <c r="C6">
        <v>1</v>
      </c>
    </row>
    <row r="7" spans="1:5" x14ac:dyDescent="0.35">
      <c r="A7">
        <v>4</v>
      </c>
      <c r="B7" s="43" t="s">
        <v>139</v>
      </c>
      <c r="C7">
        <v>1</v>
      </c>
    </row>
    <row r="8" spans="1:5" x14ac:dyDescent="0.35">
      <c r="A8">
        <v>5</v>
      </c>
      <c r="B8" s="43" t="s">
        <v>140</v>
      </c>
      <c r="C8">
        <v>1</v>
      </c>
    </row>
    <row r="9" spans="1:5" x14ac:dyDescent="0.35">
      <c r="A9">
        <v>6</v>
      </c>
      <c r="B9" s="43" t="s">
        <v>141</v>
      </c>
      <c r="C9">
        <v>1</v>
      </c>
    </row>
    <row r="10" spans="1:5" s="10" customFormat="1" x14ac:dyDescent="0.35">
      <c r="A10" s="10">
        <v>7</v>
      </c>
      <c r="B10" s="43" t="s">
        <v>142</v>
      </c>
      <c r="C10" s="10">
        <v>1</v>
      </c>
    </row>
    <row r="11" spans="1:5" x14ac:dyDescent="0.35">
      <c r="A11">
        <v>8</v>
      </c>
      <c r="B11" s="43" t="s">
        <v>191</v>
      </c>
      <c r="C11">
        <v>1</v>
      </c>
    </row>
    <row r="12" spans="1:5" s="10" customFormat="1" ht="58" x14ac:dyDescent="0.35">
      <c r="B12" s="44" t="s">
        <v>153</v>
      </c>
    </row>
    <row r="13" spans="1:5" x14ac:dyDescent="0.35">
      <c r="A13" s="12" t="s">
        <v>154</v>
      </c>
      <c r="B13" s="12" t="s">
        <v>135</v>
      </c>
      <c r="C13" s="12" t="str">
        <f>_xlfn.CONCAT("Ilgums ",SUM(C14:C23))</f>
        <v>Ilgums 20</v>
      </c>
    </row>
    <row r="14" spans="1:5" x14ac:dyDescent="0.35">
      <c r="A14" s="10">
        <v>1</v>
      </c>
      <c r="B14" s="10" t="s">
        <v>143</v>
      </c>
      <c r="C14" s="45">
        <v>1</v>
      </c>
    </row>
    <row r="15" spans="1:5" x14ac:dyDescent="0.35">
      <c r="A15" s="45">
        <v>2</v>
      </c>
      <c r="B15" s="10" t="s">
        <v>144</v>
      </c>
      <c r="C15" s="45">
        <v>3</v>
      </c>
    </row>
    <row r="16" spans="1:5" x14ac:dyDescent="0.35">
      <c r="A16" s="45">
        <v>3</v>
      </c>
      <c r="B16" s="10" t="s">
        <v>145</v>
      </c>
      <c r="C16" s="45">
        <v>3</v>
      </c>
    </row>
    <row r="17" spans="1:3" x14ac:dyDescent="0.35">
      <c r="A17" s="45">
        <v>4</v>
      </c>
      <c r="B17" s="10" t="s">
        <v>146</v>
      </c>
      <c r="C17" s="45">
        <v>2</v>
      </c>
    </row>
    <row r="18" spans="1:3" x14ac:dyDescent="0.35">
      <c r="A18" s="45">
        <v>5</v>
      </c>
      <c r="B18" s="10" t="s">
        <v>147</v>
      </c>
      <c r="C18" s="45">
        <v>2</v>
      </c>
    </row>
    <row r="19" spans="1:3" x14ac:dyDescent="0.35">
      <c r="A19" s="45">
        <v>6</v>
      </c>
      <c r="B19" s="10" t="s">
        <v>148</v>
      </c>
      <c r="C19" s="45">
        <v>1</v>
      </c>
    </row>
    <row r="20" spans="1:3" x14ac:dyDescent="0.35">
      <c r="A20" s="45">
        <v>7</v>
      </c>
      <c r="B20" s="10" t="s">
        <v>149</v>
      </c>
      <c r="C20" s="45">
        <v>2</v>
      </c>
    </row>
    <row r="21" spans="1:3" x14ac:dyDescent="0.35">
      <c r="A21" s="45">
        <v>8</v>
      </c>
      <c r="B21" s="10" t="s">
        <v>150</v>
      </c>
      <c r="C21" s="45">
        <v>1</v>
      </c>
    </row>
    <row r="22" spans="1:3" x14ac:dyDescent="0.35">
      <c r="A22" s="45">
        <v>9</v>
      </c>
      <c r="B22" s="10" t="s">
        <v>151</v>
      </c>
      <c r="C22" s="45">
        <v>4</v>
      </c>
    </row>
    <row r="23" spans="1:3" x14ac:dyDescent="0.35">
      <c r="A23" s="45">
        <v>10</v>
      </c>
      <c r="B23" s="10" t="s">
        <v>192</v>
      </c>
      <c r="C23" s="45">
        <v>1</v>
      </c>
    </row>
    <row r="24" spans="1:3" ht="58" x14ac:dyDescent="0.35">
      <c r="B24" s="44" t="s">
        <v>152</v>
      </c>
    </row>
    <row r="25" spans="1:3" x14ac:dyDescent="0.35">
      <c r="A25" s="12" t="s">
        <v>155</v>
      </c>
      <c r="B25" s="12" t="s">
        <v>135</v>
      </c>
      <c r="C25" s="12" t="str">
        <f>_xlfn.CONCAT("Ilgums ",SUM(C26:C34))</f>
        <v>Ilgums 28</v>
      </c>
    </row>
    <row r="26" spans="1:3" x14ac:dyDescent="0.35">
      <c r="A26">
        <v>1</v>
      </c>
      <c r="B26" t="s">
        <v>156</v>
      </c>
      <c r="C26">
        <v>5</v>
      </c>
    </row>
    <row r="27" spans="1:3" x14ac:dyDescent="0.35">
      <c r="A27">
        <v>2</v>
      </c>
      <c r="B27" t="s">
        <v>157</v>
      </c>
      <c r="C27">
        <v>5</v>
      </c>
    </row>
    <row r="28" spans="1:3" x14ac:dyDescent="0.35">
      <c r="A28">
        <v>3</v>
      </c>
      <c r="B28" t="s">
        <v>158</v>
      </c>
      <c r="C28">
        <v>5</v>
      </c>
    </row>
    <row r="29" spans="1:3" x14ac:dyDescent="0.35">
      <c r="A29">
        <v>4</v>
      </c>
      <c r="B29" t="s">
        <v>159</v>
      </c>
      <c r="C29">
        <v>3</v>
      </c>
    </row>
    <row r="30" spans="1:3" x14ac:dyDescent="0.35">
      <c r="A30">
        <v>5</v>
      </c>
      <c r="B30" t="s">
        <v>160</v>
      </c>
      <c r="C30">
        <v>2</v>
      </c>
    </row>
    <row r="31" spans="1:3" x14ac:dyDescent="0.35">
      <c r="A31">
        <v>6</v>
      </c>
      <c r="B31" t="s">
        <v>187</v>
      </c>
      <c r="C31">
        <v>5</v>
      </c>
    </row>
    <row r="32" spans="1:3" x14ac:dyDescent="0.35">
      <c r="A32">
        <v>7</v>
      </c>
      <c r="B32" t="s">
        <v>161</v>
      </c>
      <c r="C32">
        <v>2</v>
      </c>
    </row>
    <row r="33" spans="1:3" s="10" customFormat="1" x14ac:dyDescent="0.35">
      <c r="A33" s="10">
        <v>8</v>
      </c>
      <c r="B33" s="10" t="s">
        <v>193</v>
      </c>
      <c r="C33" s="10">
        <v>1</v>
      </c>
    </row>
    <row r="34" spans="1:3" x14ac:dyDescent="0.35">
      <c r="B34" t="s">
        <v>162</v>
      </c>
    </row>
    <row r="35" spans="1:3" x14ac:dyDescent="0.35">
      <c r="A35" s="12" t="s">
        <v>163</v>
      </c>
      <c r="B35" s="12" t="s">
        <v>135</v>
      </c>
      <c r="C35" s="12" t="str">
        <f>_xlfn.CONCAT("Ilgums ",SUM(C36:C44))</f>
        <v>Ilgums 18</v>
      </c>
    </row>
    <row r="36" spans="1:3" x14ac:dyDescent="0.35">
      <c r="A36">
        <v>1</v>
      </c>
      <c r="B36" t="s">
        <v>164</v>
      </c>
      <c r="C36">
        <v>2</v>
      </c>
    </row>
    <row r="37" spans="1:3" x14ac:dyDescent="0.35">
      <c r="A37">
        <v>2</v>
      </c>
      <c r="B37" t="s">
        <v>165</v>
      </c>
      <c r="C37">
        <v>2</v>
      </c>
    </row>
    <row r="38" spans="1:3" x14ac:dyDescent="0.35">
      <c r="A38">
        <v>3</v>
      </c>
      <c r="B38" t="s">
        <v>168</v>
      </c>
      <c r="C38">
        <v>2</v>
      </c>
    </row>
    <row r="39" spans="1:3" x14ac:dyDescent="0.35">
      <c r="A39">
        <v>4</v>
      </c>
      <c r="B39" t="s">
        <v>166</v>
      </c>
      <c r="C39">
        <v>2</v>
      </c>
    </row>
    <row r="40" spans="1:3" x14ac:dyDescent="0.35">
      <c r="A40">
        <v>5</v>
      </c>
      <c r="B40" t="s">
        <v>167</v>
      </c>
      <c r="C40">
        <v>2</v>
      </c>
    </row>
    <row r="41" spans="1:3" x14ac:dyDescent="0.35">
      <c r="A41">
        <v>6</v>
      </c>
      <c r="B41" t="s">
        <v>169</v>
      </c>
      <c r="C41">
        <v>3</v>
      </c>
    </row>
    <row r="42" spans="1:3" x14ac:dyDescent="0.35">
      <c r="A42">
        <v>7</v>
      </c>
      <c r="B42" t="s">
        <v>188</v>
      </c>
      <c r="C42">
        <v>2</v>
      </c>
    </row>
    <row r="43" spans="1:3" x14ac:dyDescent="0.35">
      <c r="A43">
        <v>8</v>
      </c>
      <c r="B43" t="s">
        <v>170</v>
      </c>
      <c r="C43">
        <v>2</v>
      </c>
    </row>
    <row r="44" spans="1:3" s="10" customFormat="1" x14ac:dyDescent="0.35">
      <c r="A44" s="10">
        <v>9</v>
      </c>
      <c r="B44" s="10" t="s">
        <v>194</v>
      </c>
      <c r="C44" s="10">
        <v>1</v>
      </c>
    </row>
    <row r="45" spans="1:3" s="10" customFormat="1" x14ac:dyDescent="0.35">
      <c r="B45" s="10" t="s">
        <v>195</v>
      </c>
    </row>
    <row r="46" spans="1:3" x14ac:dyDescent="0.35">
      <c r="A46" s="12" t="s">
        <v>171</v>
      </c>
      <c r="B46" s="12" t="s">
        <v>135</v>
      </c>
      <c r="C46" s="12" t="str">
        <f>_xlfn.CONCAT("Ilgums ",SUM(C47:C55))</f>
        <v>Ilgums 29</v>
      </c>
    </row>
    <row r="47" spans="1:3" x14ac:dyDescent="0.35">
      <c r="A47">
        <v>1</v>
      </c>
      <c r="B47" s="10" t="s">
        <v>172</v>
      </c>
      <c r="C47">
        <v>2</v>
      </c>
    </row>
    <row r="48" spans="1:3" x14ac:dyDescent="0.35">
      <c r="A48">
        <v>2</v>
      </c>
      <c r="B48" s="10" t="s">
        <v>173</v>
      </c>
      <c r="C48">
        <v>5</v>
      </c>
    </row>
    <row r="49" spans="1:4" x14ac:dyDescent="0.35">
      <c r="A49">
        <v>3</v>
      </c>
      <c r="B49" s="10" t="s">
        <v>174</v>
      </c>
      <c r="C49">
        <v>3</v>
      </c>
    </row>
    <row r="50" spans="1:4" x14ac:dyDescent="0.35">
      <c r="A50">
        <v>4</v>
      </c>
      <c r="B50" s="10" t="s">
        <v>175</v>
      </c>
      <c r="C50">
        <v>4</v>
      </c>
    </row>
    <row r="51" spans="1:4" x14ac:dyDescent="0.35">
      <c r="A51">
        <v>5</v>
      </c>
      <c r="B51" s="10" t="s">
        <v>176</v>
      </c>
      <c r="C51">
        <v>3</v>
      </c>
    </row>
    <row r="52" spans="1:4" x14ac:dyDescent="0.35">
      <c r="A52">
        <v>6</v>
      </c>
      <c r="B52" s="10" t="s">
        <v>177</v>
      </c>
      <c r="C52">
        <v>5</v>
      </c>
    </row>
    <row r="53" spans="1:4" x14ac:dyDescent="0.35">
      <c r="A53">
        <v>7</v>
      </c>
      <c r="B53" s="10" t="s">
        <v>178</v>
      </c>
      <c r="C53">
        <v>4</v>
      </c>
    </row>
    <row r="54" spans="1:4" x14ac:dyDescent="0.35">
      <c r="A54">
        <v>8</v>
      </c>
      <c r="B54" s="10" t="s">
        <v>179</v>
      </c>
      <c r="C54">
        <v>2</v>
      </c>
    </row>
    <row r="55" spans="1:4" s="10" customFormat="1" x14ac:dyDescent="0.35">
      <c r="A55" s="10">
        <v>9</v>
      </c>
      <c r="B55" s="10" t="s">
        <v>196</v>
      </c>
      <c r="C55" s="10">
        <v>1</v>
      </c>
    </row>
    <row r="56" spans="1:4" s="10" customFormat="1" x14ac:dyDescent="0.35">
      <c r="B56" s="10" t="s">
        <v>197</v>
      </c>
    </row>
    <row r="57" spans="1:4" x14ac:dyDescent="0.35">
      <c r="A57" s="12" t="s">
        <v>180</v>
      </c>
      <c r="B57" s="12" t="s">
        <v>135</v>
      </c>
      <c r="C57" s="10" t="s">
        <v>226</v>
      </c>
      <c r="D57" s="12" t="str">
        <f>_xlfn.CONCAT("Ilgums ",SUM(D58:D65))</f>
        <v>Ilgums 173</v>
      </c>
    </row>
    <row r="58" spans="1:4" x14ac:dyDescent="0.35">
      <c r="A58">
        <v>1</v>
      </c>
      <c r="B58" t="s">
        <v>181</v>
      </c>
      <c r="C58">
        <v>2</v>
      </c>
      <c r="D58" s="10">
        <v>2</v>
      </c>
    </row>
    <row r="59" spans="1:4" x14ac:dyDescent="0.35">
      <c r="A59">
        <v>2</v>
      </c>
      <c r="B59" t="s">
        <v>182</v>
      </c>
      <c r="C59">
        <v>3</v>
      </c>
      <c r="D59" s="10">
        <v>3</v>
      </c>
    </row>
    <row r="60" spans="1:4" x14ac:dyDescent="0.35">
      <c r="A60">
        <v>3</v>
      </c>
      <c r="B60" t="s">
        <v>183</v>
      </c>
      <c r="C60">
        <v>40</v>
      </c>
      <c r="D60" s="10">
        <v>40</v>
      </c>
    </row>
    <row r="61" spans="1:4" x14ac:dyDescent="0.35">
      <c r="A61">
        <v>4</v>
      </c>
      <c r="B61" t="s">
        <v>184</v>
      </c>
      <c r="C61">
        <v>40</v>
      </c>
      <c r="D61" s="10">
        <v>40</v>
      </c>
    </row>
    <row r="62" spans="1:4" x14ac:dyDescent="0.35">
      <c r="A62">
        <v>5</v>
      </c>
      <c r="B62" t="s">
        <v>185</v>
      </c>
      <c r="C62">
        <v>65</v>
      </c>
      <c r="D62" s="10">
        <v>65</v>
      </c>
    </row>
    <row r="63" spans="1:4" x14ac:dyDescent="0.35">
      <c r="A63">
        <v>6</v>
      </c>
      <c r="B63" t="s">
        <v>186</v>
      </c>
      <c r="C63">
        <v>20</v>
      </c>
      <c r="D63" s="10">
        <v>20</v>
      </c>
    </row>
    <row r="64" spans="1:4" x14ac:dyDescent="0.35">
      <c r="A64">
        <v>7</v>
      </c>
      <c r="B64" t="s">
        <v>189</v>
      </c>
      <c r="C64">
        <v>2</v>
      </c>
      <c r="D64" s="10">
        <v>2</v>
      </c>
    </row>
    <row r="65" spans="1:4" s="10" customFormat="1" x14ac:dyDescent="0.35">
      <c r="A65" s="10">
        <v>8</v>
      </c>
      <c r="B65" s="10" t="s">
        <v>198</v>
      </c>
      <c r="C65" s="10">
        <v>1</v>
      </c>
      <c r="D65" s="10">
        <v>1</v>
      </c>
    </row>
    <row r="66" spans="1:4" s="10" customFormat="1" x14ac:dyDescent="0.35">
      <c r="B66" s="10" t="s">
        <v>199</v>
      </c>
    </row>
    <row r="67" spans="1:4" x14ac:dyDescent="0.35">
      <c r="A67" s="12" t="s">
        <v>190</v>
      </c>
      <c r="B67" s="12" t="s">
        <v>135</v>
      </c>
      <c r="C67" s="12" t="str">
        <f>_xlfn.CONCAT("Ilgums ",SUM(C68:C75))</f>
        <v>Ilgums 17</v>
      </c>
    </row>
    <row r="68" spans="1:4" x14ac:dyDescent="0.35">
      <c r="A68">
        <v>1</v>
      </c>
      <c r="B68" t="s">
        <v>200</v>
      </c>
      <c r="C68">
        <v>1</v>
      </c>
    </row>
    <row r="69" spans="1:4" x14ac:dyDescent="0.35">
      <c r="A69">
        <v>2</v>
      </c>
      <c r="B69" t="s">
        <v>201</v>
      </c>
      <c r="C69">
        <v>1</v>
      </c>
    </row>
    <row r="70" spans="1:4" x14ac:dyDescent="0.35">
      <c r="A70">
        <v>3</v>
      </c>
      <c r="B70" t="s">
        <v>202</v>
      </c>
      <c r="C70">
        <v>1</v>
      </c>
    </row>
    <row r="71" spans="1:4" x14ac:dyDescent="0.35">
      <c r="A71">
        <v>4</v>
      </c>
      <c r="B71" t="s">
        <v>203</v>
      </c>
      <c r="C71">
        <v>1</v>
      </c>
    </row>
    <row r="72" spans="1:4" x14ac:dyDescent="0.35">
      <c r="A72">
        <v>5</v>
      </c>
      <c r="B72" t="s">
        <v>204</v>
      </c>
      <c r="C72">
        <v>5</v>
      </c>
    </row>
    <row r="73" spans="1:4" x14ac:dyDescent="0.35">
      <c r="A73">
        <v>6</v>
      </c>
      <c r="B73" t="s">
        <v>205</v>
      </c>
      <c r="C73">
        <v>5</v>
      </c>
    </row>
    <row r="74" spans="1:4" s="10" customFormat="1" x14ac:dyDescent="0.35">
      <c r="A74" s="10">
        <v>7</v>
      </c>
      <c r="B74" s="10" t="s">
        <v>206</v>
      </c>
      <c r="C74" s="10">
        <v>2</v>
      </c>
    </row>
    <row r="75" spans="1:4" s="10" customFormat="1" x14ac:dyDescent="0.35">
      <c r="A75">
        <v>8</v>
      </c>
      <c r="B75" t="s">
        <v>222</v>
      </c>
      <c r="C75">
        <v>1</v>
      </c>
    </row>
    <row r="76" spans="1:4" x14ac:dyDescent="0.35">
      <c r="B76" t="s">
        <v>223</v>
      </c>
    </row>
    <row r="77" spans="1:4" x14ac:dyDescent="0.35">
      <c r="A77" s="12" t="s">
        <v>207</v>
      </c>
      <c r="B77" s="12" t="s">
        <v>135</v>
      </c>
      <c r="C77" s="12" t="str">
        <f>_xlfn.CONCAT("Ilgums ",SUM(C78:C84))</f>
        <v>Ilgums 16</v>
      </c>
    </row>
    <row r="78" spans="1:4" x14ac:dyDescent="0.35">
      <c r="A78">
        <v>1</v>
      </c>
      <c r="B78" t="s">
        <v>208</v>
      </c>
      <c r="C78">
        <v>1</v>
      </c>
    </row>
    <row r="79" spans="1:4" x14ac:dyDescent="0.35">
      <c r="A79">
        <v>2</v>
      </c>
      <c r="B79" t="s">
        <v>209</v>
      </c>
      <c r="C79">
        <v>4</v>
      </c>
    </row>
    <row r="80" spans="1:4" x14ac:dyDescent="0.35">
      <c r="A80">
        <v>3</v>
      </c>
      <c r="B80" t="s">
        <v>210</v>
      </c>
      <c r="C80">
        <v>2</v>
      </c>
    </row>
    <row r="81" spans="1:3" x14ac:dyDescent="0.35">
      <c r="A81">
        <v>4</v>
      </c>
      <c r="B81" t="s">
        <v>211</v>
      </c>
      <c r="C81">
        <v>4</v>
      </c>
    </row>
    <row r="82" spans="1:3" x14ac:dyDescent="0.35">
      <c r="A82">
        <v>5</v>
      </c>
      <c r="B82" t="s">
        <v>212</v>
      </c>
      <c r="C82">
        <v>3</v>
      </c>
    </row>
    <row r="83" spans="1:3" x14ac:dyDescent="0.35">
      <c r="A83">
        <v>6</v>
      </c>
      <c r="B83" t="s">
        <v>213</v>
      </c>
      <c r="C83">
        <v>1</v>
      </c>
    </row>
    <row r="84" spans="1:3" x14ac:dyDescent="0.35">
      <c r="A84">
        <v>7</v>
      </c>
      <c r="B84" t="s">
        <v>214</v>
      </c>
      <c r="C84">
        <v>1</v>
      </c>
    </row>
    <row r="87" spans="1:3" x14ac:dyDescent="0.35">
      <c r="B87" s="10" t="s">
        <v>224</v>
      </c>
      <c r="C87" s="10">
        <f>SUM(C78:C84)+SUM(C68:C75)+70+SUM(C47:C55)+SUM(C36:C44)+SUM(C26:C33)+SUM(C14:C23)+SUM(C4:C11)</f>
        <v>206</v>
      </c>
    </row>
    <row r="88" spans="1:3" x14ac:dyDescent="0.35">
      <c r="B88" t="s">
        <v>225</v>
      </c>
      <c r="C88">
        <f>C87/22</f>
        <v>9.3636363636363633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007F-B4AB-484F-83FB-DCEE04FAC223}">
  <dimension ref="A1:G88"/>
  <sheetViews>
    <sheetView workbookViewId="0">
      <selection activeCell="B33" sqref="B33"/>
    </sheetView>
  </sheetViews>
  <sheetFormatPr defaultRowHeight="14.5" x14ac:dyDescent="0.35"/>
  <cols>
    <col min="1" max="1" width="15.26953125" bestFit="1" customWidth="1"/>
    <col min="2" max="2" width="61.36328125" bestFit="1" customWidth="1"/>
    <col min="3" max="3" width="9.81640625" style="10" bestFit="1" customWidth="1"/>
  </cols>
  <sheetData>
    <row r="1" spans="1:7" x14ac:dyDescent="0.35">
      <c r="A1" s="34" t="s">
        <v>130</v>
      </c>
      <c r="B1" s="34"/>
      <c r="C1" s="34"/>
      <c r="D1" s="42"/>
      <c r="E1" s="42"/>
      <c r="F1" s="42"/>
      <c r="G1" s="42"/>
    </row>
    <row r="2" spans="1:7" x14ac:dyDescent="0.35">
      <c r="A2" s="12" t="s">
        <v>131</v>
      </c>
      <c r="B2" s="12" t="s">
        <v>132</v>
      </c>
    </row>
    <row r="3" spans="1:7" x14ac:dyDescent="0.35">
      <c r="A3" s="12" t="s">
        <v>134</v>
      </c>
      <c r="B3" s="12" t="s">
        <v>135</v>
      </c>
      <c r="C3" s="12" t="str">
        <f>_xlfn.CONCAT("Ilgums ",SUM(C4:C11))</f>
        <v>Ilgums 8</v>
      </c>
    </row>
    <row r="4" spans="1:7" x14ac:dyDescent="0.35">
      <c r="A4" s="10">
        <v>1</v>
      </c>
      <c r="B4" s="43" t="s">
        <v>136</v>
      </c>
      <c r="C4" s="10">
        <v>1</v>
      </c>
    </row>
    <row r="5" spans="1:7" x14ac:dyDescent="0.35">
      <c r="A5" s="10">
        <v>2</v>
      </c>
      <c r="B5" s="43" t="s">
        <v>137</v>
      </c>
      <c r="C5" s="10">
        <v>1</v>
      </c>
    </row>
    <row r="6" spans="1:7" x14ac:dyDescent="0.35">
      <c r="A6" s="10">
        <v>3</v>
      </c>
      <c r="B6" s="43" t="s">
        <v>138</v>
      </c>
      <c r="C6" s="10">
        <v>1</v>
      </c>
    </row>
    <row r="7" spans="1:7" x14ac:dyDescent="0.35">
      <c r="A7" s="10">
        <v>4</v>
      </c>
      <c r="B7" s="43" t="s">
        <v>139</v>
      </c>
      <c r="C7" s="10">
        <v>1</v>
      </c>
    </row>
    <row r="8" spans="1:7" x14ac:dyDescent="0.35">
      <c r="A8" s="10">
        <v>5</v>
      </c>
      <c r="B8" s="43" t="s">
        <v>140</v>
      </c>
      <c r="C8" s="10">
        <v>1</v>
      </c>
    </row>
    <row r="9" spans="1:7" x14ac:dyDescent="0.35">
      <c r="A9" s="10">
        <v>6</v>
      </c>
      <c r="B9" s="43" t="s">
        <v>141</v>
      </c>
      <c r="C9" s="10">
        <v>1</v>
      </c>
    </row>
    <row r="10" spans="1:7" x14ac:dyDescent="0.35">
      <c r="A10" s="10">
        <v>7</v>
      </c>
      <c r="B10" s="43" t="s">
        <v>142</v>
      </c>
      <c r="C10" s="10">
        <v>1</v>
      </c>
    </row>
    <row r="11" spans="1:7" x14ac:dyDescent="0.35">
      <c r="A11" s="10">
        <v>8</v>
      </c>
      <c r="B11" s="43" t="s">
        <v>191</v>
      </c>
      <c r="C11" s="10">
        <v>1</v>
      </c>
    </row>
    <row r="12" spans="1:7" ht="58" x14ac:dyDescent="0.35">
      <c r="A12" s="10"/>
      <c r="B12" s="44" t="s">
        <v>153</v>
      </c>
    </row>
    <row r="13" spans="1:7" x14ac:dyDescent="0.35">
      <c r="A13" s="12" t="s">
        <v>154</v>
      </c>
      <c r="B13" s="12" t="s">
        <v>135</v>
      </c>
      <c r="C13" s="12" t="str">
        <f>_xlfn.CONCAT("Ilgums ",SUM(C14:C23))</f>
        <v>Ilgums 20</v>
      </c>
    </row>
    <row r="14" spans="1:7" x14ac:dyDescent="0.35">
      <c r="A14" s="10">
        <v>1</v>
      </c>
      <c r="B14" s="10" t="s">
        <v>143</v>
      </c>
      <c r="C14" s="45">
        <v>1</v>
      </c>
    </row>
    <row r="15" spans="1:7" x14ac:dyDescent="0.35">
      <c r="A15" s="45">
        <v>2</v>
      </c>
      <c r="B15" s="10" t="s">
        <v>144</v>
      </c>
      <c r="C15" s="45">
        <v>3</v>
      </c>
    </row>
    <row r="16" spans="1:7" x14ac:dyDescent="0.35">
      <c r="A16" s="45">
        <v>3</v>
      </c>
      <c r="B16" s="10" t="s">
        <v>145</v>
      </c>
      <c r="C16" s="45">
        <v>3</v>
      </c>
    </row>
    <row r="17" spans="1:3" x14ac:dyDescent="0.35">
      <c r="A17" s="45">
        <v>4</v>
      </c>
      <c r="B17" s="10" t="s">
        <v>146</v>
      </c>
      <c r="C17" s="45">
        <v>2</v>
      </c>
    </row>
    <row r="18" spans="1:3" x14ac:dyDescent="0.35">
      <c r="A18" s="45">
        <v>5</v>
      </c>
      <c r="B18" s="10" t="s">
        <v>147</v>
      </c>
      <c r="C18" s="45">
        <v>2</v>
      </c>
    </row>
    <row r="19" spans="1:3" x14ac:dyDescent="0.35">
      <c r="A19" s="45">
        <v>6</v>
      </c>
      <c r="B19" s="10" t="s">
        <v>148</v>
      </c>
      <c r="C19" s="45">
        <v>1</v>
      </c>
    </row>
    <row r="20" spans="1:3" x14ac:dyDescent="0.35">
      <c r="A20" s="45">
        <v>7</v>
      </c>
      <c r="B20" s="10" t="s">
        <v>149</v>
      </c>
      <c r="C20" s="45">
        <v>2</v>
      </c>
    </row>
    <row r="21" spans="1:3" x14ac:dyDescent="0.35">
      <c r="A21" s="45">
        <v>8</v>
      </c>
      <c r="B21" s="10" t="s">
        <v>150</v>
      </c>
      <c r="C21" s="45">
        <v>1</v>
      </c>
    </row>
    <row r="22" spans="1:3" x14ac:dyDescent="0.35">
      <c r="A22" s="45">
        <v>9</v>
      </c>
      <c r="B22" s="10" t="s">
        <v>151</v>
      </c>
      <c r="C22" s="45">
        <v>4</v>
      </c>
    </row>
    <row r="23" spans="1:3" x14ac:dyDescent="0.35">
      <c r="A23" s="45">
        <v>10</v>
      </c>
      <c r="B23" s="10" t="s">
        <v>192</v>
      </c>
      <c r="C23" s="45">
        <v>1</v>
      </c>
    </row>
    <row r="24" spans="1:3" ht="58" x14ac:dyDescent="0.35">
      <c r="A24" s="10"/>
      <c r="B24" s="44" t="s">
        <v>152</v>
      </c>
    </row>
    <row r="25" spans="1:3" x14ac:dyDescent="0.35">
      <c r="A25" s="12" t="s">
        <v>155</v>
      </c>
      <c r="B25" s="12" t="s">
        <v>135</v>
      </c>
      <c r="C25" s="12" t="str">
        <f>_xlfn.CONCAT("Ilgums ",SUM(C26:C34))</f>
        <v>Ilgums 28</v>
      </c>
    </row>
    <row r="26" spans="1:3" x14ac:dyDescent="0.35">
      <c r="A26" s="10">
        <v>1</v>
      </c>
      <c r="B26" s="10" t="s">
        <v>156</v>
      </c>
      <c r="C26" s="10">
        <v>5</v>
      </c>
    </row>
    <row r="27" spans="1:3" x14ac:dyDescent="0.35">
      <c r="A27" s="10">
        <v>2</v>
      </c>
      <c r="B27" s="10" t="s">
        <v>215</v>
      </c>
      <c r="C27" s="10">
        <v>5</v>
      </c>
    </row>
    <row r="28" spans="1:3" x14ac:dyDescent="0.35">
      <c r="A28" s="10">
        <v>3</v>
      </c>
      <c r="B28" s="10" t="s">
        <v>158</v>
      </c>
      <c r="C28" s="10">
        <v>5</v>
      </c>
    </row>
    <row r="29" spans="1:3" x14ac:dyDescent="0.35">
      <c r="A29" s="10">
        <v>4</v>
      </c>
      <c r="B29" s="10" t="s">
        <v>216</v>
      </c>
      <c r="C29" s="10">
        <v>3</v>
      </c>
    </row>
    <row r="30" spans="1:3" x14ac:dyDescent="0.35">
      <c r="A30" s="10">
        <v>5</v>
      </c>
      <c r="B30" s="10" t="s">
        <v>160</v>
      </c>
      <c r="C30" s="10">
        <v>2</v>
      </c>
    </row>
    <row r="31" spans="1:3" x14ac:dyDescent="0.35">
      <c r="A31" s="10">
        <v>6</v>
      </c>
      <c r="B31" s="10" t="s">
        <v>187</v>
      </c>
      <c r="C31" s="10">
        <v>5</v>
      </c>
    </row>
    <row r="32" spans="1:3" x14ac:dyDescent="0.35">
      <c r="A32" s="10">
        <v>7</v>
      </c>
      <c r="B32" s="10" t="s">
        <v>161</v>
      </c>
      <c r="C32" s="10">
        <v>2</v>
      </c>
    </row>
    <row r="33" spans="1:3" x14ac:dyDescent="0.35">
      <c r="A33" s="10">
        <v>8</v>
      </c>
      <c r="B33" s="10" t="s">
        <v>193</v>
      </c>
      <c r="C33" s="10">
        <v>1</v>
      </c>
    </row>
    <row r="34" spans="1:3" x14ac:dyDescent="0.35">
      <c r="A34" s="10"/>
      <c r="B34" s="10" t="s">
        <v>162</v>
      </c>
    </row>
    <row r="35" spans="1:3" x14ac:dyDescent="0.35">
      <c r="A35" s="12" t="s">
        <v>163</v>
      </c>
      <c r="B35" s="12" t="s">
        <v>135</v>
      </c>
      <c r="C35" s="12" t="str">
        <f>_xlfn.CONCAT("Ilgums ",SUM(C36:C44))</f>
        <v>Ilgums 18</v>
      </c>
    </row>
    <row r="36" spans="1:3" x14ac:dyDescent="0.35">
      <c r="A36" s="10">
        <v>1</v>
      </c>
      <c r="B36" s="10" t="s">
        <v>164</v>
      </c>
      <c r="C36" s="10">
        <v>2</v>
      </c>
    </row>
    <row r="37" spans="1:3" x14ac:dyDescent="0.35">
      <c r="A37" s="10">
        <v>2</v>
      </c>
      <c r="B37" s="10" t="s">
        <v>165</v>
      </c>
      <c r="C37" s="10">
        <v>2</v>
      </c>
    </row>
    <row r="38" spans="1:3" x14ac:dyDescent="0.35">
      <c r="A38" s="10">
        <v>3</v>
      </c>
      <c r="B38" s="10" t="s">
        <v>217</v>
      </c>
      <c r="C38" s="10">
        <v>2</v>
      </c>
    </row>
    <row r="39" spans="1:3" x14ac:dyDescent="0.35">
      <c r="A39" s="10">
        <v>4</v>
      </c>
      <c r="B39" s="10" t="s">
        <v>166</v>
      </c>
      <c r="C39" s="10">
        <v>2</v>
      </c>
    </row>
    <row r="40" spans="1:3" x14ac:dyDescent="0.35">
      <c r="A40" s="10">
        <v>5</v>
      </c>
      <c r="B40" s="10" t="s">
        <v>218</v>
      </c>
      <c r="C40" s="10">
        <v>2</v>
      </c>
    </row>
    <row r="41" spans="1:3" x14ac:dyDescent="0.35">
      <c r="A41" s="10">
        <v>6</v>
      </c>
      <c r="B41" s="10" t="s">
        <v>169</v>
      </c>
      <c r="C41" s="10">
        <v>3</v>
      </c>
    </row>
    <row r="42" spans="1:3" x14ac:dyDescent="0.35">
      <c r="A42" s="10">
        <v>7</v>
      </c>
      <c r="B42" s="10" t="s">
        <v>188</v>
      </c>
      <c r="C42" s="10">
        <v>2</v>
      </c>
    </row>
    <row r="43" spans="1:3" x14ac:dyDescent="0.35">
      <c r="A43" s="10">
        <v>8</v>
      </c>
      <c r="B43" s="10" t="s">
        <v>170</v>
      </c>
      <c r="C43" s="10">
        <v>2</v>
      </c>
    </row>
    <row r="44" spans="1:3" x14ac:dyDescent="0.35">
      <c r="A44" s="10">
        <v>9</v>
      </c>
      <c r="B44" s="10" t="s">
        <v>194</v>
      </c>
      <c r="C44" s="10">
        <v>1</v>
      </c>
    </row>
    <row r="45" spans="1:3" x14ac:dyDescent="0.35">
      <c r="A45" s="10"/>
      <c r="B45" s="10" t="s">
        <v>195</v>
      </c>
    </row>
    <row r="46" spans="1:3" x14ac:dyDescent="0.35">
      <c r="A46" s="12" t="s">
        <v>171</v>
      </c>
      <c r="B46" s="12" t="s">
        <v>135</v>
      </c>
      <c r="C46" s="12" t="str">
        <f>_xlfn.CONCAT("Ilgums ",SUM(C47:C55))</f>
        <v>Ilgums 29</v>
      </c>
    </row>
    <row r="47" spans="1:3" x14ac:dyDescent="0.35">
      <c r="A47" s="10">
        <v>1</v>
      </c>
      <c r="B47" s="10" t="s">
        <v>172</v>
      </c>
      <c r="C47" s="10">
        <v>2</v>
      </c>
    </row>
    <row r="48" spans="1:3" x14ac:dyDescent="0.35">
      <c r="A48" s="10">
        <v>2</v>
      </c>
      <c r="B48" s="10" t="s">
        <v>173</v>
      </c>
      <c r="C48" s="10">
        <v>5</v>
      </c>
    </row>
    <row r="49" spans="1:3" x14ac:dyDescent="0.35">
      <c r="A49" s="10">
        <v>3</v>
      </c>
      <c r="B49" s="10" t="s">
        <v>175</v>
      </c>
      <c r="C49" s="10">
        <v>3</v>
      </c>
    </row>
    <row r="50" spans="1:3" x14ac:dyDescent="0.35">
      <c r="A50" s="10">
        <v>4</v>
      </c>
      <c r="B50" s="10" t="s">
        <v>219</v>
      </c>
      <c r="C50" s="10">
        <v>4</v>
      </c>
    </row>
    <row r="51" spans="1:3" x14ac:dyDescent="0.35">
      <c r="A51" s="10">
        <v>5</v>
      </c>
      <c r="B51" s="10" t="s">
        <v>177</v>
      </c>
      <c r="C51" s="10">
        <v>3</v>
      </c>
    </row>
    <row r="52" spans="1:3" x14ac:dyDescent="0.35">
      <c r="A52" s="10">
        <v>6</v>
      </c>
      <c r="B52" s="10" t="s">
        <v>178</v>
      </c>
      <c r="C52" s="10">
        <v>5</v>
      </c>
    </row>
    <row r="53" spans="1:3" x14ac:dyDescent="0.35">
      <c r="A53" s="10">
        <v>7</v>
      </c>
      <c r="B53" s="10" t="s">
        <v>179</v>
      </c>
      <c r="C53" s="10">
        <v>4</v>
      </c>
    </row>
    <row r="54" spans="1:3" x14ac:dyDescent="0.35">
      <c r="A54" s="10">
        <v>8</v>
      </c>
      <c r="B54" s="10" t="s">
        <v>196</v>
      </c>
      <c r="C54" s="10">
        <v>2</v>
      </c>
    </row>
    <row r="55" spans="1:3" x14ac:dyDescent="0.35">
      <c r="A55" s="10"/>
      <c r="B55" s="10" t="s">
        <v>197</v>
      </c>
      <c r="C55" s="10">
        <v>1</v>
      </c>
    </row>
    <row r="56" spans="1:3" x14ac:dyDescent="0.35">
      <c r="A56" s="10"/>
      <c r="B56" s="10"/>
    </row>
    <row r="57" spans="1:3" x14ac:dyDescent="0.35">
      <c r="A57" s="12" t="s">
        <v>180</v>
      </c>
      <c r="B57" s="12" t="s">
        <v>135</v>
      </c>
      <c r="C57" s="12" t="str">
        <f>_xlfn.CONCAT("Ilgums ",SUM(C58:C65))</f>
        <v>Ilgums 173</v>
      </c>
    </row>
    <row r="58" spans="1:3" x14ac:dyDescent="0.35">
      <c r="A58" s="10">
        <v>1</v>
      </c>
      <c r="B58" s="10" t="s">
        <v>181</v>
      </c>
      <c r="C58" s="10">
        <v>2</v>
      </c>
    </row>
    <row r="59" spans="1:3" x14ac:dyDescent="0.35">
      <c r="A59" s="10">
        <v>2</v>
      </c>
      <c r="B59" s="10" t="s">
        <v>182</v>
      </c>
      <c r="C59" s="10">
        <v>3</v>
      </c>
    </row>
    <row r="60" spans="1:3" x14ac:dyDescent="0.35">
      <c r="A60" s="10">
        <v>3</v>
      </c>
      <c r="B60" s="10" t="s">
        <v>183</v>
      </c>
      <c r="C60" s="10">
        <v>40</v>
      </c>
    </row>
    <row r="61" spans="1:3" x14ac:dyDescent="0.35">
      <c r="A61" s="10">
        <v>4</v>
      </c>
      <c r="B61" s="10" t="s">
        <v>184</v>
      </c>
      <c r="C61" s="10">
        <v>40</v>
      </c>
    </row>
    <row r="62" spans="1:3" x14ac:dyDescent="0.35">
      <c r="A62" s="10">
        <v>5</v>
      </c>
      <c r="B62" s="10" t="s">
        <v>185</v>
      </c>
      <c r="C62" s="10">
        <v>65</v>
      </c>
    </row>
    <row r="63" spans="1:3" x14ac:dyDescent="0.35">
      <c r="A63" s="10">
        <v>6</v>
      </c>
      <c r="B63" s="10" t="s">
        <v>220</v>
      </c>
      <c r="C63" s="10">
        <v>20</v>
      </c>
    </row>
    <row r="64" spans="1:3" x14ac:dyDescent="0.35">
      <c r="A64" s="10">
        <v>7</v>
      </c>
      <c r="B64" s="10" t="s">
        <v>189</v>
      </c>
      <c r="C64" s="10">
        <v>2</v>
      </c>
    </row>
    <row r="65" spans="1:3" x14ac:dyDescent="0.35">
      <c r="A65" s="10">
        <v>8</v>
      </c>
      <c r="B65" s="10" t="s">
        <v>198</v>
      </c>
      <c r="C65" s="10">
        <v>1</v>
      </c>
    </row>
    <row r="66" spans="1:3" x14ac:dyDescent="0.35">
      <c r="A66" s="10"/>
      <c r="B66" s="10" t="s">
        <v>199</v>
      </c>
    </row>
    <row r="67" spans="1:3" x14ac:dyDescent="0.35">
      <c r="A67" s="12" t="s">
        <v>190</v>
      </c>
      <c r="B67" s="12" t="s">
        <v>135</v>
      </c>
      <c r="C67" s="12" t="str">
        <f>_xlfn.CONCAT("Ilgums ",SUM(C68:C75))</f>
        <v>Ilgums 17</v>
      </c>
    </row>
    <row r="68" spans="1:3" x14ac:dyDescent="0.35">
      <c r="A68" s="10">
        <v>1</v>
      </c>
      <c r="B68" s="10" t="s">
        <v>200</v>
      </c>
      <c r="C68" s="10">
        <v>1</v>
      </c>
    </row>
    <row r="69" spans="1:3" x14ac:dyDescent="0.35">
      <c r="A69" s="10">
        <v>2</v>
      </c>
      <c r="B69" s="10" t="s">
        <v>201</v>
      </c>
      <c r="C69" s="10">
        <v>1</v>
      </c>
    </row>
    <row r="70" spans="1:3" x14ac:dyDescent="0.35">
      <c r="A70" s="10">
        <v>3</v>
      </c>
      <c r="B70" s="10" t="s">
        <v>202</v>
      </c>
      <c r="C70" s="10">
        <v>1</v>
      </c>
    </row>
    <row r="71" spans="1:3" x14ac:dyDescent="0.35">
      <c r="A71" s="10">
        <v>4</v>
      </c>
      <c r="B71" s="10" t="s">
        <v>203</v>
      </c>
      <c r="C71" s="10">
        <v>1</v>
      </c>
    </row>
    <row r="72" spans="1:3" x14ac:dyDescent="0.35">
      <c r="A72" s="10">
        <v>5</v>
      </c>
      <c r="B72" s="10" t="s">
        <v>221</v>
      </c>
      <c r="C72" s="10">
        <v>5</v>
      </c>
    </row>
    <row r="73" spans="1:3" x14ac:dyDescent="0.35">
      <c r="A73" s="10">
        <v>6</v>
      </c>
      <c r="B73" s="10" t="s">
        <v>205</v>
      </c>
      <c r="C73" s="10">
        <v>5</v>
      </c>
    </row>
    <row r="74" spans="1:3" x14ac:dyDescent="0.35">
      <c r="A74" s="10">
        <v>7</v>
      </c>
      <c r="B74" s="10" t="s">
        <v>206</v>
      </c>
      <c r="C74" s="10">
        <v>2</v>
      </c>
    </row>
    <row r="75" spans="1:3" x14ac:dyDescent="0.35">
      <c r="A75" s="10">
        <v>8</v>
      </c>
      <c r="B75" s="10" t="s">
        <v>222</v>
      </c>
      <c r="C75" s="10">
        <v>1</v>
      </c>
    </row>
    <row r="76" spans="1:3" x14ac:dyDescent="0.35">
      <c r="A76" s="10"/>
      <c r="B76" s="10" t="s">
        <v>223</v>
      </c>
    </row>
    <row r="77" spans="1:3" x14ac:dyDescent="0.35">
      <c r="A77" s="12" t="s">
        <v>207</v>
      </c>
      <c r="B77" s="12" t="s">
        <v>135</v>
      </c>
      <c r="C77" s="12" t="str">
        <f>_xlfn.CONCAT("Ilgums ",SUM(C78:C84))</f>
        <v>Ilgums 16</v>
      </c>
    </row>
    <row r="78" spans="1:3" x14ac:dyDescent="0.35">
      <c r="A78" s="10">
        <v>1</v>
      </c>
      <c r="B78" s="10" t="s">
        <v>208</v>
      </c>
      <c r="C78" s="10">
        <v>1</v>
      </c>
    </row>
    <row r="79" spans="1:3" x14ac:dyDescent="0.35">
      <c r="A79" s="10">
        <v>2</v>
      </c>
      <c r="B79" s="10" t="s">
        <v>209</v>
      </c>
      <c r="C79" s="10">
        <v>4</v>
      </c>
    </row>
    <row r="80" spans="1:3" x14ac:dyDescent="0.35">
      <c r="A80" s="10">
        <v>3</v>
      </c>
      <c r="B80" s="10" t="s">
        <v>210</v>
      </c>
      <c r="C80" s="10">
        <v>2</v>
      </c>
    </row>
    <row r="81" spans="1:3" x14ac:dyDescent="0.35">
      <c r="A81" s="10">
        <v>4</v>
      </c>
      <c r="B81" s="10" t="s">
        <v>211</v>
      </c>
      <c r="C81" s="10">
        <v>4</v>
      </c>
    </row>
    <row r="82" spans="1:3" x14ac:dyDescent="0.35">
      <c r="A82" s="10">
        <v>5</v>
      </c>
      <c r="B82" s="10" t="s">
        <v>212</v>
      </c>
      <c r="C82" s="10">
        <v>3</v>
      </c>
    </row>
    <row r="83" spans="1:3" x14ac:dyDescent="0.35">
      <c r="A83" s="10">
        <v>6</v>
      </c>
      <c r="B83" s="10" t="s">
        <v>213</v>
      </c>
      <c r="C83" s="10">
        <v>1</v>
      </c>
    </row>
    <row r="84" spans="1:3" x14ac:dyDescent="0.35">
      <c r="A84" s="10">
        <v>7</v>
      </c>
      <c r="B84" s="10" t="s">
        <v>214</v>
      </c>
      <c r="C84" s="10">
        <v>1</v>
      </c>
    </row>
    <row r="87" spans="1:3" x14ac:dyDescent="0.35">
      <c r="B87" t="s">
        <v>224</v>
      </c>
      <c r="C87" s="10">
        <f>SUM(C78:C84)+SUM(C68:C75)+SUM(C58:C65)+SUM(C47:C55)+SUM(C36:C44)+SUM(C26:C33)+SUM(C14:C23)+SUM(C4:C11)</f>
        <v>309</v>
      </c>
    </row>
    <row r="88" spans="1:3" x14ac:dyDescent="0.35">
      <c r="B88" s="10" t="s">
        <v>225</v>
      </c>
      <c r="C88" s="10">
        <f>C87/22</f>
        <v>14.045454545454545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34" zoomScale="145" zoomScaleNormal="145" workbookViewId="0">
      <selection activeCell="F55" sqref="F55"/>
    </sheetView>
  </sheetViews>
  <sheetFormatPr defaultRowHeight="14.5" x14ac:dyDescent="0.35"/>
  <cols>
    <col min="1" max="1" width="44.54296875" bestFit="1" customWidth="1"/>
    <col min="2" max="2" width="7.26953125" bestFit="1" customWidth="1"/>
    <col min="3" max="3" width="8.453125" bestFit="1" customWidth="1"/>
    <col min="4" max="4" width="7.36328125" bestFit="1" customWidth="1"/>
    <col min="5" max="5" width="8.7265625" bestFit="1" customWidth="1"/>
    <col min="6" max="6" width="9" bestFit="1" customWidth="1"/>
  </cols>
  <sheetData>
    <row r="1" spans="1:6" s="2" customFormat="1" ht="31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x14ac:dyDescent="0.35">
      <c r="A2" s="19" t="s">
        <v>6</v>
      </c>
      <c r="B2" s="20"/>
      <c r="C2" s="20"/>
      <c r="D2" s="20"/>
      <c r="E2" s="20"/>
      <c r="F2" s="20"/>
    </row>
    <row r="3" spans="1:6" x14ac:dyDescent="0.35">
      <c r="A3" s="21" t="s">
        <v>7</v>
      </c>
      <c r="B3" s="20"/>
      <c r="C3" s="20"/>
      <c r="D3" s="20"/>
      <c r="E3" s="20"/>
      <c r="F3" s="20"/>
    </row>
    <row r="4" spans="1:6" x14ac:dyDescent="0.35">
      <c r="A4" s="20" t="s">
        <v>8</v>
      </c>
      <c r="B4" s="20" t="s">
        <v>9</v>
      </c>
      <c r="C4" s="20">
        <v>2000</v>
      </c>
      <c r="D4" s="20">
        <v>10</v>
      </c>
      <c r="E4" s="22">
        <f>C4*D4</f>
        <v>20000</v>
      </c>
      <c r="F4" s="22">
        <f>E4</f>
        <v>20000</v>
      </c>
    </row>
    <row r="5" spans="1:6" s="10" customFormat="1" x14ac:dyDescent="0.35">
      <c r="A5" s="20" t="s">
        <v>123</v>
      </c>
      <c r="B5" s="20" t="s">
        <v>9</v>
      </c>
      <c r="C5" s="20">
        <v>2000</v>
      </c>
      <c r="D5" s="20">
        <v>10</v>
      </c>
      <c r="E5" s="22">
        <f>C5*D5</f>
        <v>20000</v>
      </c>
      <c r="F5" s="22">
        <f>E5</f>
        <v>20000</v>
      </c>
    </row>
    <row r="6" spans="1:6" x14ac:dyDescent="0.35">
      <c r="A6" s="20" t="s">
        <v>124</v>
      </c>
      <c r="B6" s="20" t="s">
        <v>9</v>
      </c>
      <c r="C6" s="20">
        <v>1000</v>
      </c>
      <c r="D6" s="20">
        <v>10</v>
      </c>
      <c r="E6" s="22">
        <f>C6*D6</f>
        <v>10000</v>
      </c>
      <c r="F6" s="22">
        <f>E6</f>
        <v>10000</v>
      </c>
    </row>
    <row r="7" spans="1:6" x14ac:dyDescent="0.35">
      <c r="A7" s="23" t="s">
        <v>10</v>
      </c>
      <c r="B7" s="20"/>
      <c r="C7" s="20"/>
      <c r="D7" s="20"/>
      <c r="E7" s="22">
        <f>SUM(E4:E6)</f>
        <v>50000</v>
      </c>
      <c r="F7" s="22">
        <f>SUM(F4:F6)</f>
        <v>50000</v>
      </c>
    </row>
    <row r="8" spans="1:6" x14ac:dyDescent="0.35">
      <c r="A8" s="24" t="s">
        <v>11</v>
      </c>
      <c r="B8" s="20"/>
      <c r="C8" s="20"/>
      <c r="D8" s="20"/>
      <c r="E8" s="22">
        <f>E7*0.2409</f>
        <v>12045</v>
      </c>
      <c r="F8" s="22">
        <f>F7*0.2409</f>
        <v>12045</v>
      </c>
    </row>
    <row r="9" spans="1:6" x14ac:dyDescent="0.35">
      <c r="A9" s="23" t="s">
        <v>12</v>
      </c>
      <c r="B9" s="20"/>
      <c r="C9" s="20"/>
      <c r="D9" s="20"/>
      <c r="E9" s="22">
        <f>SUM(E7:E8)</f>
        <v>62045</v>
      </c>
      <c r="F9" s="22">
        <f>SUM(F7:F8)</f>
        <v>62045</v>
      </c>
    </row>
    <row r="10" spans="1:6" x14ac:dyDescent="0.35">
      <c r="A10" s="19" t="s">
        <v>13</v>
      </c>
      <c r="B10" s="20"/>
      <c r="C10" s="20"/>
      <c r="D10" s="20"/>
      <c r="E10" s="22"/>
      <c r="F10" s="22"/>
    </row>
    <row r="11" spans="1:6" x14ac:dyDescent="0.35">
      <c r="A11" s="20" t="s">
        <v>14</v>
      </c>
      <c r="B11" s="20" t="s">
        <v>9</v>
      </c>
      <c r="C11" s="20">
        <v>300</v>
      </c>
      <c r="D11" s="20">
        <v>10</v>
      </c>
      <c r="E11" s="22">
        <f>C11*D11</f>
        <v>3000</v>
      </c>
      <c r="F11" s="22">
        <f>E11</f>
        <v>3000</v>
      </c>
    </row>
    <row r="12" spans="1:6" x14ac:dyDescent="0.35">
      <c r="A12" s="20"/>
      <c r="B12" s="20"/>
      <c r="C12" s="20"/>
      <c r="D12" s="20"/>
      <c r="E12" s="22"/>
      <c r="F12" s="22"/>
    </row>
    <row r="13" spans="1:6" x14ac:dyDescent="0.35">
      <c r="A13" s="23" t="s">
        <v>15</v>
      </c>
      <c r="B13" s="20"/>
      <c r="C13" s="20"/>
      <c r="D13" s="20"/>
      <c r="E13" s="22">
        <f>SUM(E11:E12)</f>
        <v>3000</v>
      </c>
      <c r="F13" s="22">
        <f>SUM(F11:F12)</f>
        <v>3000</v>
      </c>
    </row>
    <row r="14" spans="1:6" x14ac:dyDescent="0.35">
      <c r="A14" s="24" t="s">
        <v>11</v>
      </c>
      <c r="B14" s="20"/>
      <c r="C14" s="20"/>
      <c r="D14" s="20"/>
      <c r="E14" s="22">
        <f>E13*0.2409</f>
        <v>722.7</v>
      </c>
      <c r="F14" s="22">
        <f>F13*0.2409</f>
        <v>722.7</v>
      </c>
    </row>
    <row r="15" spans="1:6" x14ac:dyDescent="0.35">
      <c r="A15" s="23" t="s">
        <v>12</v>
      </c>
      <c r="B15" s="20"/>
      <c r="C15" s="20"/>
      <c r="D15" s="20"/>
      <c r="E15" s="22">
        <f>SUM(E13:E14)</f>
        <v>3722.7</v>
      </c>
      <c r="F15" s="22">
        <f>SUM(F13:F14)</f>
        <v>3722.7</v>
      </c>
    </row>
    <row r="16" spans="1:6" x14ac:dyDescent="0.35">
      <c r="A16" s="25" t="s">
        <v>16</v>
      </c>
      <c r="B16" s="20"/>
      <c r="C16" s="20"/>
      <c r="D16" s="20"/>
      <c r="E16" s="22">
        <f>E15+E9</f>
        <v>65767.7</v>
      </c>
      <c r="F16" s="22">
        <f>F15+F9</f>
        <v>65767.7</v>
      </c>
    </row>
    <row r="17" spans="1:6" x14ac:dyDescent="0.35">
      <c r="A17" s="20"/>
      <c r="B17" s="20"/>
      <c r="C17" s="20"/>
      <c r="D17" s="20"/>
      <c r="E17" s="22"/>
      <c r="F17" s="22"/>
    </row>
    <row r="18" spans="1:6" x14ac:dyDescent="0.35">
      <c r="A18" s="26" t="s">
        <v>17</v>
      </c>
      <c r="B18" s="20"/>
      <c r="C18" s="20"/>
      <c r="D18" s="20"/>
      <c r="E18" s="22"/>
      <c r="F18" s="22"/>
    </row>
    <row r="19" spans="1:6" x14ac:dyDescent="0.35">
      <c r="A19" s="20" t="s">
        <v>18</v>
      </c>
      <c r="B19" s="20" t="s">
        <v>9</v>
      </c>
      <c r="C19" s="20">
        <v>100</v>
      </c>
      <c r="D19" s="20">
        <v>10</v>
      </c>
      <c r="E19" s="22">
        <f t="shared" ref="E19:E22" si="0">C19*D19</f>
        <v>1000</v>
      </c>
      <c r="F19" s="22">
        <f t="shared" ref="F19:F23" si="1">E19*1.21</f>
        <v>1210</v>
      </c>
    </row>
    <row r="20" spans="1:6" x14ac:dyDescent="0.35">
      <c r="A20" s="20" t="s">
        <v>19</v>
      </c>
      <c r="B20" s="20" t="s">
        <v>9</v>
      </c>
      <c r="C20" s="20">
        <v>20</v>
      </c>
      <c r="D20" s="20">
        <v>10</v>
      </c>
      <c r="E20" s="22">
        <f t="shared" si="0"/>
        <v>200</v>
      </c>
      <c r="F20" s="22">
        <f t="shared" si="1"/>
        <v>242</v>
      </c>
    </row>
    <row r="21" spans="1:6" x14ac:dyDescent="0.35">
      <c r="A21" s="20" t="s">
        <v>20</v>
      </c>
      <c r="B21" s="20" t="s">
        <v>9</v>
      </c>
      <c r="C21" s="20">
        <v>50</v>
      </c>
      <c r="D21" s="20">
        <v>10</v>
      </c>
      <c r="E21" s="22">
        <f t="shared" si="0"/>
        <v>500</v>
      </c>
      <c r="F21" s="22">
        <f t="shared" si="1"/>
        <v>605</v>
      </c>
    </row>
    <row r="22" spans="1:6" x14ac:dyDescent="0.35">
      <c r="A22" s="20" t="s">
        <v>21</v>
      </c>
      <c r="B22" s="20" t="s">
        <v>9</v>
      </c>
      <c r="C22" s="20">
        <v>20</v>
      </c>
      <c r="D22" s="20">
        <v>10</v>
      </c>
      <c r="E22" s="22">
        <f t="shared" si="0"/>
        <v>200</v>
      </c>
      <c r="F22" s="22">
        <f t="shared" si="1"/>
        <v>242</v>
      </c>
    </row>
    <row r="23" spans="1:6" x14ac:dyDescent="0.35">
      <c r="A23" s="25" t="s">
        <v>22</v>
      </c>
      <c r="B23" s="20"/>
      <c r="C23" s="20"/>
      <c r="D23" s="20"/>
      <c r="E23" s="22">
        <f>SUM(E18:E22)</f>
        <v>1900</v>
      </c>
      <c r="F23" s="22">
        <f t="shared" si="1"/>
        <v>2299</v>
      </c>
    </row>
    <row r="24" spans="1:6" x14ac:dyDescent="0.35">
      <c r="A24" s="20"/>
      <c r="B24" s="20"/>
      <c r="C24" s="20"/>
      <c r="D24" s="20"/>
      <c r="E24" s="22"/>
      <c r="F24" s="22"/>
    </row>
    <row r="25" spans="1:6" x14ac:dyDescent="0.35">
      <c r="A25" s="27" t="s">
        <v>23</v>
      </c>
      <c r="B25" s="20"/>
      <c r="C25" s="20"/>
      <c r="D25" s="20"/>
      <c r="E25" s="22">
        <f>E16+E23</f>
        <v>67667.7</v>
      </c>
      <c r="F25" s="22">
        <f>F16+F23</f>
        <v>68066.7</v>
      </c>
    </row>
    <row r="26" spans="1:6" x14ac:dyDescent="0.35">
      <c r="A26" s="20"/>
      <c r="B26" s="20"/>
      <c r="C26" s="20"/>
      <c r="D26" s="20"/>
      <c r="E26" s="22"/>
      <c r="F26" s="22"/>
    </row>
    <row r="27" spans="1:6" x14ac:dyDescent="0.35">
      <c r="A27" s="19" t="s">
        <v>24</v>
      </c>
      <c r="B27" s="20"/>
      <c r="C27" s="20"/>
      <c r="D27" s="20"/>
      <c r="E27" s="22"/>
      <c r="F27" s="22"/>
    </row>
    <row r="28" spans="1:6" x14ac:dyDescent="0.35">
      <c r="A28" s="19" t="s">
        <v>25</v>
      </c>
      <c r="B28" s="20"/>
      <c r="C28" s="20"/>
      <c r="D28" s="20"/>
      <c r="E28" s="22"/>
      <c r="F28" s="22"/>
    </row>
    <row r="29" spans="1:6" s="10" customFormat="1" x14ac:dyDescent="0.35">
      <c r="A29" s="20" t="s">
        <v>125</v>
      </c>
      <c r="B29" s="20" t="s">
        <v>37</v>
      </c>
      <c r="C29" s="20">
        <v>1600</v>
      </c>
      <c r="D29" s="20">
        <v>1</v>
      </c>
      <c r="E29" s="22">
        <f>C29*D29</f>
        <v>1600</v>
      </c>
      <c r="F29" s="22">
        <f>E29*1.21</f>
        <v>1936</v>
      </c>
    </row>
    <row r="30" spans="1:6" s="10" customFormat="1" x14ac:dyDescent="0.35">
      <c r="A30" s="20" t="s">
        <v>126</v>
      </c>
      <c r="B30" s="20" t="s">
        <v>37</v>
      </c>
      <c r="C30" s="20">
        <v>2400</v>
      </c>
      <c r="D30" s="20">
        <v>1</v>
      </c>
      <c r="E30" s="22">
        <f>C30*D30</f>
        <v>2400</v>
      </c>
      <c r="F30" s="22">
        <f t="shared" ref="F30:F32" si="2">E30*1.21</f>
        <v>2904</v>
      </c>
    </row>
    <row r="31" spans="1:6" x14ac:dyDescent="0.35">
      <c r="A31" s="20" t="s">
        <v>127</v>
      </c>
      <c r="B31" s="20" t="s">
        <v>37</v>
      </c>
      <c r="C31" s="20">
        <v>1500</v>
      </c>
      <c r="D31" s="20">
        <v>1</v>
      </c>
      <c r="E31" s="22">
        <f>C31*D31</f>
        <v>1500</v>
      </c>
      <c r="F31" s="22">
        <f t="shared" si="2"/>
        <v>1815</v>
      </c>
    </row>
    <row r="32" spans="1:6" x14ac:dyDescent="0.35">
      <c r="A32" s="20" t="s">
        <v>128</v>
      </c>
      <c r="B32" s="20" t="s">
        <v>129</v>
      </c>
      <c r="C32" s="20">
        <v>300</v>
      </c>
      <c r="D32" s="20">
        <f>8*12*15</f>
        <v>1440</v>
      </c>
      <c r="E32" s="22">
        <f t="shared" ref="E32:E37" si="3">C32*D32</f>
        <v>432000</v>
      </c>
      <c r="F32" s="22">
        <f t="shared" si="2"/>
        <v>522720</v>
      </c>
    </row>
    <row r="33" spans="1:6" x14ac:dyDescent="0.35">
      <c r="A33" s="20" t="s">
        <v>26</v>
      </c>
      <c r="B33" s="20" t="s">
        <v>9</v>
      </c>
      <c r="C33" s="20">
        <v>960</v>
      </c>
      <c r="D33" s="20">
        <v>2</v>
      </c>
      <c r="E33" s="22">
        <f t="shared" si="3"/>
        <v>1920</v>
      </c>
      <c r="F33" s="22">
        <f t="shared" ref="F33:F39" si="4">E33</f>
        <v>1920</v>
      </c>
    </row>
    <row r="34" spans="1:6" x14ac:dyDescent="0.35">
      <c r="A34" s="20" t="s">
        <v>27</v>
      </c>
      <c r="B34" s="20" t="s">
        <v>28</v>
      </c>
      <c r="C34" s="20">
        <v>1400</v>
      </c>
      <c r="D34" s="20">
        <v>2</v>
      </c>
      <c r="E34" s="22">
        <f t="shared" si="3"/>
        <v>2800</v>
      </c>
      <c r="F34" s="22">
        <f t="shared" si="4"/>
        <v>2800</v>
      </c>
    </row>
    <row r="35" spans="1:6" s="10" customFormat="1" x14ac:dyDescent="0.35">
      <c r="A35" s="20" t="s">
        <v>27</v>
      </c>
      <c r="B35" s="20" t="s">
        <v>9</v>
      </c>
      <c r="C35" s="20">
        <v>1000</v>
      </c>
      <c r="D35" s="20">
        <v>2</v>
      </c>
      <c r="E35" s="22">
        <f t="shared" si="3"/>
        <v>2000</v>
      </c>
      <c r="F35" s="22">
        <f t="shared" si="4"/>
        <v>2000</v>
      </c>
    </row>
    <row r="36" spans="1:6" x14ac:dyDescent="0.35">
      <c r="A36" s="20" t="s">
        <v>114</v>
      </c>
      <c r="B36" s="20" t="s">
        <v>9</v>
      </c>
      <c r="C36" s="20">
        <v>1000</v>
      </c>
      <c r="D36" s="20">
        <v>2</v>
      </c>
      <c r="E36" s="22">
        <f t="shared" si="3"/>
        <v>2000</v>
      </c>
      <c r="F36" s="22">
        <f t="shared" si="4"/>
        <v>2000</v>
      </c>
    </row>
    <row r="37" spans="1:6" x14ac:dyDescent="0.35">
      <c r="A37" s="20" t="s">
        <v>29</v>
      </c>
      <c r="B37" s="20" t="s">
        <v>9</v>
      </c>
      <c r="C37" s="20">
        <v>1400</v>
      </c>
      <c r="D37" s="20">
        <v>1</v>
      </c>
      <c r="E37" s="22">
        <f t="shared" si="3"/>
        <v>1400</v>
      </c>
      <c r="F37" s="22">
        <f t="shared" si="4"/>
        <v>1400</v>
      </c>
    </row>
    <row r="38" spans="1:6" x14ac:dyDescent="0.35">
      <c r="A38" s="23" t="s">
        <v>30</v>
      </c>
      <c r="B38" s="20"/>
      <c r="C38" s="20"/>
      <c r="D38" s="20"/>
      <c r="E38" s="22">
        <f>SUM(E33:E37)</f>
        <v>10120</v>
      </c>
      <c r="F38" s="22">
        <f>E38</f>
        <v>10120</v>
      </c>
    </row>
    <row r="39" spans="1:6" x14ac:dyDescent="0.35">
      <c r="A39" s="24" t="s">
        <v>31</v>
      </c>
      <c r="B39" s="20"/>
      <c r="C39" s="20"/>
      <c r="D39" s="20"/>
      <c r="E39" s="22">
        <f>E38*0.2409</f>
        <v>2437.9079999999999</v>
      </c>
      <c r="F39" s="22">
        <f t="shared" si="4"/>
        <v>2437.9079999999999</v>
      </c>
    </row>
    <row r="40" spans="1:6" x14ac:dyDescent="0.35">
      <c r="A40" s="23" t="s">
        <v>12</v>
      </c>
      <c r="B40" s="20"/>
      <c r="C40" s="20"/>
      <c r="D40" s="20"/>
      <c r="E40" s="22">
        <f>E38+E39</f>
        <v>12557.907999999999</v>
      </c>
      <c r="F40" s="22">
        <f>F38+F39</f>
        <v>12557.907999999999</v>
      </c>
    </row>
    <row r="41" spans="1:6" x14ac:dyDescent="0.35">
      <c r="A41" s="23" t="s">
        <v>232</v>
      </c>
      <c r="B41" s="20"/>
      <c r="C41" s="20"/>
      <c r="D41" s="20"/>
      <c r="E41" s="22">
        <f>SUM(E29:E32)</f>
        <v>437500</v>
      </c>
      <c r="F41" s="22">
        <f>SUM(F29:F32)</f>
        <v>529375</v>
      </c>
    </row>
    <row r="42" spans="1:6" s="10" customFormat="1" x14ac:dyDescent="0.35">
      <c r="A42" s="23" t="s">
        <v>227</v>
      </c>
      <c r="B42" s="20"/>
      <c r="C42" s="20"/>
      <c r="D42" s="20"/>
      <c r="E42" s="22">
        <f>E41*0.05</f>
        <v>21875</v>
      </c>
      <c r="F42" s="22">
        <f>E42</f>
        <v>21875</v>
      </c>
    </row>
    <row r="43" spans="1:6" s="10" customFormat="1" x14ac:dyDescent="0.35">
      <c r="A43" s="23" t="s">
        <v>233</v>
      </c>
      <c r="B43" s="20"/>
      <c r="C43" s="20"/>
      <c r="D43" s="20"/>
      <c r="E43" s="22">
        <f>SUM(E41:E42)</f>
        <v>459375</v>
      </c>
      <c r="F43" s="22">
        <f>SUM(F41:F42)</f>
        <v>551250</v>
      </c>
    </row>
    <row r="44" spans="1:6" x14ac:dyDescent="0.35">
      <c r="A44" s="19" t="s">
        <v>32</v>
      </c>
      <c r="B44" s="20"/>
      <c r="C44" s="20"/>
      <c r="D44" s="20"/>
      <c r="E44" s="20"/>
      <c r="F44" s="20"/>
    </row>
    <row r="45" spans="1:6" x14ac:dyDescent="0.35">
      <c r="A45" s="20" t="s">
        <v>33</v>
      </c>
      <c r="B45" s="20" t="s">
        <v>34</v>
      </c>
      <c r="C45" s="20">
        <v>5.24</v>
      </c>
      <c r="D45" s="20">
        <v>300</v>
      </c>
      <c r="E45" s="22">
        <f>C45*D45</f>
        <v>1572</v>
      </c>
      <c r="F45" s="22">
        <f>E45*1.21</f>
        <v>1902.12</v>
      </c>
    </row>
    <row r="46" spans="1:6" x14ac:dyDescent="0.35">
      <c r="A46" s="20" t="s">
        <v>35</v>
      </c>
      <c r="B46" s="20" t="s">
        <v>9</v>
      </c>
      <c r="C46" s="20">
        <v>50</v>
      </c>
      <c r="D46" s="20">
        <v>1</v>
      </c>
      <c r="E46" s="22">
        <f t="shared" ref="E46:E47" si="5">C46*D46</f>
        <v>50</v>
      </c>
      <c r="F46" s="22">
        <f t="shared" ref="F46:F48" si="6">E46*1.21</f>
        <v>60.5</v>
      </c>
    </row>
    <row r="47" spans="1:6" x14ac:dyDescent="0.35">
      <c r="A47" s="20" t="s">
        <v>36</v>
      </c>
      <c r="B47" s="20" t="s">
        <v>37</v>
      </c>
      <c r="C47" s="20">
        <v>5</v>
      </c>
      <c r="D47" s="20">
        <v>30</v>
      </c>
      <c r="E47" s="22">
        <f t="shared" si="5"/>
        <v>150</v>
      </c>
      <c r="F47" s="22">
        <f t="shared" si="6"/>
        <v>181.5</v>
      </c>
    </row>
    <row r="48" spans="1:6" x14ac:dyDescent="0.35">
      <c r="A48" s="25" t="s">
        <v>38</v>
      </c>
      <c r="B48" s="20"/>
      <c r="C48" s="20"/>
      <c r="D48" s="20"/>
      <c r="E48" s="22">
        <f>SUM(E45:E47)</f>
        <v>1772</v>
      </c>
      <c r="F48" s="22">
        <f t="shared" si="6"/>
        <v>2144.12</v>
      </c>
    </row>
    <row r="49" spans="1:6" x14ac:dyDescent="0.35">
      <c r="A49" s="20"/>
      <c r="B49" s="20"/>
      <c r="C49" s="20"/>
      <c r="D49" s="20"/>
      <c r="E49" s="22"/>
      <c r="F49" s="22"/>
    </row>
    <row r="50" spans="1:6" x14ac:dyDescent="0.35">
      <c r="A50" s="19" t="s">
        <v>39</v>
      </c>
      <c r="B50" s="20"/>
      <c r="C50" s="20"/>
      <c r="D50" s="20"/>
      <c r="E50" s="22"/>
      <c r="F50" s="22"/>
    </row>
    <row r="51" spans="1:6" x14ac:dyDescent="0.35">
      <c r="A51" s="20" t="s">
        <v>228</v>
      </c>
      <c r="B51" s="20" t="s">
        <v>9</v>
      </c>
      <c r="C51" s="20">
        <v>300</v>
      </c>
      <c r="D51" s="20">
        <v>2</v>
      </c>
      <c r="E51" s="22">
        <f>C51*D51</f>
        <v>600</v>
      </c>
      <c r="F51" s="22">
        <f>E51*1.21</f>
        <v>726</v>
      </c>
    </row>
    <row r="52" spans="1:6" x14ac:dyDescent="0.35">
      <c r="A52" s="25" t="s">
        <v>40</v>
      </c>
      <c r="B52" s="20"/>
      <c r="C52" s="20"/>
      <c r="D52" s="20"/>
      <c r="E52" s="22">
        <f>SUM(E51:E51)</f>
        <v>600</v>
      </c>
      <c r="F52" s="22">
        <f>E52*1.21</f>
        <v>726</v>
      </c>
    </row>
    <row r="53" spans="1:6" x14ac:dyDescent="0.35">
      <c r="A53" s="20"/>
      <c r="B53" s="20"/>
      <c r="C53" s="20"/>
      <c r="D53" s="20"/>
      <c r="E53" s="20"/>
      <c r="F53" s="20"/>
    </row>
    <row r="54" spans="1:6" x14ac:dyDescent="0.35">
      <c r="A54" s="28" t="s">
        <v>41</v>
      </c>
      <c r="B54" s="20"/>
      <c r="C54" s="20"/>
      <c r="D54" s="20"/>
      <c r="E54" s="29">
        <f>E40+E48+E52+E25+E43</f>
        <v>541972.60800000001</v>
      </c>
      <c r="F54" s="29">
        <f>F40+F48+F52+F25+F43</f>
        <v>634744.728</v>
      </c>
    </row>
    <row r="55" spans="1:6" x14ac:dyDescent="0.35">
      <c r="A55" s="30" t="s">
        <v>42</v>
      </c>
      <c r="B55" s="20"/>
      <c r="C55" s="20"/>
      <c r="D55" s="20"/>
      <c r="E55" s="29">
        <f>E54*0.1</f>
        <v>54197.260800000004</v>
      </c>
      <c r="F55" s="29">
        <f>F54*0.1</f>
        <v>63474.472800000003</v>
      </c>
    </row>
    <row r="56" spans="1:6" x14ac:dyDescent="0.35">
      <c r="A56" s="30" t="s">
        <v>43</v>
      </c>
      <c r="B56" s="20"/>
      <c r="C56" s="20"/>
      <c r="D56" s="20"/>
      <c r="E56" s="31">
        <f>E54+E55</f>
        <v>596169.86880000005</v>
      </c>
      <c r="F56" s="31">
        <f>F54+F55</f>
        <v>698219.20079999999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E2E5-56BD-41F3-BDCC-C847B3AC8314}">
  <dimension ref="A1:F56"/>
  <sheetViews>
    <sheetView topLeftCell="A37" zoomScale="145" zoomScaleNormal="145" workbookViewId="0">
      <selection activeCell="E56" sqref="E56"/>
    </sheetView>
  </sheetViews>
  <sheetFormatPr defaultRowHeight="14.5" x14ac:dyDescent="0.35"/>
  <cols>
    <col min="1" max="1" width="44.54296875" style="10" bestFit="1" customWidth="1"/>
    <col min="2" max="2" width="7.26953125" style="10" bestFit="1" customWidth="1"/>
    <col min="3" max="3" width="8.453125" style="10" bestFit="1" customWidth="1"/>
    <col min="4" max="4" width="7.36328125" style="10" bestFit="1" customWidth="1"/>
    <col min="5" max="5" width="8.7265625" style="10" bestFit="1" customWidth="1"/>
    <col min="6" max="6" width="9" style="10" bestFit="1" customWidth="1"/>
    <col min="7" max="16384" width="8.7265625" style="10"/>
  </cols>
  <sheetData>
    <row r="1" spans="1:6" s="17" customFormat="1" ht="31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x14ac:dyDescent="0.35">
      <c r="A2" s="19" t="s">
        <v>6</v>
      </c>
      <c r="B2" s="20"/>
      <c r="C2" s="20"/>
      <c r="D2" s="20"/>
      <c r="E2" s="20"/>
      <c r="F2" s="20"/>
    </row>
    <row r="3" spans="1:6" x14ac:dyDescent="0.35">
      <c r="A3" s="21" t="s">
        <v>7</v>
      </c>
      <c r="B3" s="20"/>
      <c r="C3" s="20"/>
      <c r="D3" s="20"/>
      <c r="E3" s="20"/>
      <c r="F3" s="20"/>
    </row>
    <row r="4" spans="1:6" x14ac:dyDescent="0.35">
      <c r="A4" s="20" t="s">
        <v>8</v>
      </c>
      <c r="B4" s="20" t="s">
        <v>9</v>
      </c>
      <c r="C4" s="20">
        <v>2000</v>
      </c>
      <c r="D4" s="20">
        <v>10</v>
      </c>
      <c r="E4" s="22">
        <f>C4*D4</f>
        <v>20000</v>
      </c>
      <c r="F4" s="22">
        <f>E4</f>
        <v>20000</v>
      </c>
    </row>
    <row r="5" spans="1:6" x14ac:dyDescent="0.35">
      <c r="A5" s="20" t="s">
        <v>123</v>
      </c>
      <c r="B5" s="20" t="s">
        <v>9</v>
      </c>
      <c r="C5" s="20">
        <v>2000</v>
      </c>
      <c r="D5" s="20">
        <v>10</v>
      </c>
      <c r="E5" s="22">
        <f>C5*D5</f>
        <v>20000</v>
      </c>
      <c r="F5" s="22">
        <f>E5</f>
        <v>20000</v>
      </c>
    </row>
    <row r="6" spans="1:6" x14ac:dyDescent="0.35">
      <c r="A6" s="20" t="s">
        <v>124</v>
      </c>
      <c r="B6" s="20" t="s">
        <v>9</v>
      </c>
      <c r="C6" s="20">
        <v>1000</v>
      </c>
      <c r="D6" s="20">
        <v>10</v>
      </c>
      <c r="E6" s="22">
        <f>C6*D6</f>
        <v>10000</v>
      </c>
      <c r="F6" s="22">
        <f>E6</f>
        <v>10000</v>
      </c>
    </row>
    <row r="7" spans="1:6" x14ac:dyDescent="0.35">
      <c r="A7" s="23" t="s">
        <v>10</v>
      </c>
      <c r="B7" s="20"/>
      <c r="C7" s="20"/>
      <c r="D7" s="20"/>
      <c r="E7" s="22">
        <f>SUM(E4:E6)</f>
        <v>50000</v>
      </c>
      <c r="F7" s="22">
        <f>SUM(F4:F6)</f>
        <v>50000</v>
      </c>
    </row>
    <row r="8" spans="1:6" x14ac:dyDescent="0.35">
      <c r="A8" s="24" t="s">
        <v>11</v>
      </c>
      <c r="B8" s="20"/>
      <c r="C8" s="20"/>
      <c r="D8" s="20"/>
      <c r="E8" s="22">
        <f>E7*0.2409</f>
        <v>12045</v>
      </c>
      <c r="F8" s="22">
        <f>F7*0.2409</f>
        <v>12045</v>
      </c>
    </row>
    <row r="9" spans="1:6" x14ac:dyDescent="0.35">
      <c r="A9" s="23" t="s">
        <v>12</v>
      </c>
      <c r="B9" s="20"/>
      <c r="C9" s="20"/>
      <c r="D9" s="20"/>
      <c r="E9" s="22">
        <f>SUM(E7:E8)</f>
        <v>62045</v>
      </c>
      <c r="F9" s="22">
        <f>SUM(F7:F8)</f>
        <v>62045</v>
      </c>
    </row>
    <row r="10" spans="1:6" x14ac:dyDescent="0.35">
      <c r="A10" s="19" t="s">
        <v>13</v>
      </c>
      <c r="B10" s="20"/>
      <c r="C10" s="20"/>
      <c r="D10" s="20"/>
      <c r="E10" s="22"/>
      <c r="F10" s="22"/>
    </row>
    <row r="11" spans="1:6" x14ac:dyDescent="0.35">
      <c r="A11" s="20" t="s">
        <v>14</v>
      </c>
      <c r="B11" s="20" t="s">
        <v>9</v>
      </c>
      <c r="C11" s="20">
        <v>300</v>
      </c>
      <c r="D11" s="20">
        <v>10</v>
      </c>
      <c r="E11" s="22">
        <f>C11*D11</f>
        <v>3000</v>
      </c>
      <c r="F11" s="22">
        <f>E11</f>
        <v>3000</v>
      </c>
    </row>
    <row r="12" spans="1:6" x14ac:dyDescent="0.35">
      <c r="A12" s="20"/>
      <c r="B12" s="20"/>
      <c r="C12" s="20"/>
      <c r="D12" s="20"/>
      <c r="E12" s="22"/>
      <c r="F12" s="22"/>
    </row>
    <row r="13" spans="1:6" x14ac:dyDescent="0.35">
      <c r="A13" s="23" t="s">
        <v>15</v>
      </c>
      <c r="B13" s="20"/>
      <c r="C13" s="20"/>
      <c r="D13" s="20"/>
      <c r="E13" s="22">
        <f>SUM(E11:E12)</f>
        <v>3000</v>
      </c>
      <c r="F13" s="22">
        <f>SUM(F11:F12)</f>
        <v>3000</v>
      </c>
    </row>
    <row r="14" spans="1:6" x14ac:dyDescent="0.35">
      <c r="A14" s="24" t="s">
        <v>11</v>
      </c>
      <c r="B14" s="20"/>
      <c r="C14" s="20"/>
      <c r="D14" s="20"/>
      <c r="E14" s="22">
        <f>E13*0.2409</f>
        <v>722.7</v>
      </c>
      <c r="F14" s="22">
        <f>F13*0.2409</f>
        <v>722.7</v>
      </c>
    </row>
    <row r="15" spans="1:6" x14ac:dyDescent="0.35">
      <c r="A15" s="23" t="s">
        <v>12</v>
      </c>
      <c r="B15" s="20"/>
      <c r="C15" s="20"/>
      <c r="D15" s="20"/>
      <c r="E15" s="22">
        <f>SUM(E13:E14)</f>
        <v>3722.7</v>
      </c>
      <c r="F15" s="22">
        <f>SUM(F13:F14)</f>
        <v>3722.7</v>
      </c>
    </row>
    <row r="16" spans="1:6" x14ac:dyDescent="0.35">
      <c r="A16" s="25" t="s">
        <v>16</v>
      </c>
      <c r="B16" s="20"/>
      <c r="C16" s="20"/>
      <c r="D16" s="20"/>
      <c r="E16" s="22">
        <f>E15+E9</f>
        <v>65767.7</v>
      </c>
      <c r="F16" s="22">
        <f>F15+F9</f>
        <v>65767.7</v>
      </c>
    </row>
    <row r="17" spans="1:6" x14ac:dyDescent="0.35">
      <c r="A17" s="20"/>
      <c r="B17" s="20"/>
      <c r="C17" s="20"/>
      <c r="D17" s="20"/>
      <c r="E17" s="22"/>
      <c r="F17" s="22"/>
    </row>
    <row r="18" spans="1:6" x14ac:dyDescent="0.35">
      <c r="A18" s="26" t="s">
        <v>17</v>
      </c>
      <c r="B18" s="20"/>
      <c r="C18" s="20"/>
      <c r="D18" s="20"/>
      <c r="E18" s="22"/>
      <c r="F18" s="22"/>
    </row>
    <row r="19" spans="1:6" x14ac:dyDescent="0.35">
      <c r="A19" s="20" t="s">
        <v>18</v>
      </c>
      <c r="B19" s="20" t="s">
        <v>9</v>
      </c>
      <c r="C19" s="20">
        <v>100</v>
      </c>
      <c r="D19" s="20">
        <v>10</v>
      </c>
      <c r="E19" s="22">
        <f t="shared" ref="E19:E22" si="0">C19*D19</f>
        <v>1000</v>
      </c>
      <c r="F19" s="22">
        <f t="shared" ref="F19:F23" si="1">E19*1.21</f>
        <v>1210</v>
      </c>
    </row>
    <row r="20" spans="1:6" x14ac:dyDescent="0.35">
      <c r="A20" s="20" t="s">
        <v>19</v>
      </c>
      <c r="B20" s="20" t="s">
        <v>9</v>
      </c>
      <c r="C20" s="20">
        <v>20</v>
      </c>
      <c r="D20" s="20">
        <v>10</v>
      </c>
      <c r="E20" s="22">
        <f t="shared" si="0"/>
        <v>200</v>
      </c>
      <c r="F20" s="22">
        <f t="shared" si="1"/>
        <v>242</v>
      </c>
    </row>
    <row r="21" spans="1:6" x14ac:dyDescent="0.35">
      <c r="A21" s="20" t="s">
        <v>20</v>
      </c>
      <c r="B21" s="20" t="s">
        <v>9</v>
      </c>
      <c r="C21" s="20">
        <v>50</v>
      </c>
      <c r="D21" s="20">
        <v>10</v>
      </c>
      <c r="E21" s="22">
        <f t="shared" si="0"/>
        <v>500</v>
      </c>
      <c r="F21" s="22">
        <f t="shared" si="1"/>
        <v>605</v>
      </c>
    </row>
    <row r="22" spans="1:6" x14ac:dyDescent="0.35">
      <c r="A22" s="20" t="s">
        <v>21</v>
      </c>
      <c r="B22" s="20" t="s">
        <v>9</v>
      </c>
      <c r="C22" s="20">
        <v>20</v>
      </c>
      <c r="D22" s="20">
        <v>10</v>
      </c>
      <c r="E22" s="22">
        <f t="shared" si="0"/>
        <v>200</v>
      </c>
      <c r="F22" s="22">
        <f t="shared" si="1"/>
        <v>242</v>
      </c>
    </row>
    <row r="23" spans="1:6" x14ac:dyDescent="0.35">
      <c r="A23" s="25" t="s">
        <v>22</v>
      </c>
      <c r="B23" s="20"/>
      <c r="C23" s="20"/>
      <c r="D23" s="20"/>
      <c r="E23" s="22">
        <f>SUM(E18:E22)</f>
        <v>1900</v>
      </c>
      <c r="F23" s="22">
        <f t="shared" si="1"/>
        <v>2299</v>
      </c>
    </row>
    <row r="24" spans="1:6" x14ac:dyDescent="0.35">
      <c r="A24" s="20"/>
      <c r="B24" s="20"/>
      <c r="C24" s="20"/>
      <c r="D24" s="20"/>
      <c r="E24" s="22"/>
      <c r="F24" s="22"/>
    </row>
    <row r="25" spans="1:6" x14ac:dyDescent="0.35">
      <c r="A25" s="27" t="s">
        <v>23</v>
      </c>
      <c r="B25" s="20"/>
      <c r="C25" s="20"/>
      <c r="D25" s="20"/>
      <c r="E25" s="22">
        <f>E16+E23</f>
        <v>67667.7</v>
      </c>
      <c r="F25" s="22">
        <f>F16+F23</f>
        <v>68066.7</v>
      </c>
    </row>
    <row r="26" spans="1:6" x14ac:dyDescent="0.35">
      <c r="A26" s="20"/>
      <c r="B26" s="20"/>
      <c r="C26" s="20"/>
      <c r="D26" s="20"/>
      <c r="E26" s="22"/>
      <c r="F26" s="22"/>
    </row>
    <row r="27" spans="1:6" x14ac:dyDescent="0.35">
      <c r="A27" s="19" t="s">
        <v>24</v>
      </c>
      <c r="B27" s="20"/>
      <c r="C27" s="20"/>
      <c r="D27" s="20"/>
      <c r="E27" s="22"/>
      <c r="F27" s="22"/>
    </row>
    <row r="28" spans="1:6" x14ac:dyDescent="0.35">
      <c r="A28" s="19" t="s">
        <v>25</v>
      </c>
      <c r="B28" s="20"/>
      <c r="C28" s="20"/>
      <c r="D28" s="20"/>
      <c r="E28" s="22"/>
      <c r="F28" s="22"/>
    </row>
    <row r="29" spans="1:6" x14ac:dyDescent="0.35">
      <c r="A29" s="20" t="s">
        <v>230</v>
      </c>
      <c r="B29" s="20" t="s">
        <v>37</v>
      </c>
      <c r="C29" s="20">
        <v>1600</v>
      </c>
      <c r="D29" s="20">
        <v>1</v>
      </c>
      <c r="E29" s="22">
        <f>C29*D29</f>
        <v>1600</v>
      </c>
      <c r="F29" s="22">
        <f>E29*1.21</f>
        <v>1936</v>
      </c>
    </row>
    <row r="30" spans="1:6" x14ac:dyDescent="0.35">
      <c r="A30" s="20" t="s">
        <v>229</v>
      </c>
      <c r="B30" s="20" t="s">
        <v>37</v>
      </c>
      <c r="C30" s="20">
        <v>2400</v>
      </c>
      <c r="D30" s="20">
        <v>1</v>
      </c>
      <c r="E30" s="22">
        <f>C30*D30</f>
        <v>2400</v>
      </c>
      <c r="F30" s="22">
        <f t="shared" ref="F30:F32" si="2">E30*1.21</f>
        <v>2904</v>
      </c>
    </row>
    <row r="31" spans="1:6" x14ac:dyDescent="0.35">
      <c r="A31" s="20" t="s">
        <v>231</v>
      </c>
      <c r="B31" s="20" t="s">
        <v>37</v>
      </c>
      <c r="C31" s="20">
        <v>1500</v>
      </c>
      <c r="D31" s="20">
        <v>1</v>
      </c>
      <c r="E31" s="22">
        <f>C31*D31</f>
        <v>1500</v>
      </c>
      <c r="F31" s="22">
        <f t="shared" si="2"/>
        <v>1815</v>
      </c>
    </row>
    <row r="32" spans="1:6" x14ac:dyDescent="0.35">
      <c r="A32" s="20" t="s">
        <v>128</v>
      </c>
      <c r="B32" s="20" t="s">
        <v>129</v>
      </c>
      <c r="C32" s="20">
        <v>300</v>
      </c>
      <c r="D32" s="20">
        <f>8*12*15</f>
        <v>1440</v>
      </c>
      <c r="E32" s="22">
        <f t="shared" ref="E32:E37" si="3">C32*D32</f>
        <v>432000</v>
      </c>
      <c r="F32" s="22">
        <f t="shared" si="2"/>
        <v>522720</v>
      </c>
    </row>
    <row r="33" spans="1:6" x14ac:dyDescent="0.35">
      <c r="A33" s="20" t="s">
        <v>26</v>
      </c>
      <c r="B33" s="20" t="s">
        <v>9</v>
      </c>
      <c r="C33" s="20">
        <v>960</v>
      </c>
      <c r="D33" s="20">
        <v>2</v>
      </c>
      <c r="E33" s="22">
        <f t="shared" si="3"/>
        <v>1920</v>
      </c>
      <c r="F33" s="22">
        <f t="shared" ref="F33:F39" si="4">E33</f>
        <v>1920</v>
      </c>
    </row>
    <row r="34" spans="1:6" x14ac:dyDescent="0.35">
      <c r="A34" s="20" t="s">
        <v>27</v>
      </c>
      <c r="B34" s="20" t="s">
        <v>28</v>
      </c>
      <c r="C34" s="20">
        <v>1400</v>
      </c>
      <c r="D34" s="20">
        <v>2</v>
      </c>
      <c r="E34" s="22">
        <f t="shared" si="3"/>
        <v>2800</v>
      </c>
      <c r="F34" s="22">
        <f t="shared" si="4"/>
        <v>2800</v>
      </c>
    </row>
    <row r="35" spans="1:6" x14ac:dyDescent="0.35">
      <c r="A35" s="20" t="s">
        <v>27</v>
      </c>
      <c r="B35" s="20" t="s">
        <v>9</v>
      </c>
      <c r="C35" s="20">
        <v>1000</v>
      </c>
      <c r="D35" s="20">
        <v>2</v>
      </c>
      <c r="E35" s="22">
        <f t="shared" si="3"/>
        <v>2000</v>
      </c>
      <c r="F35" s="22">
        <f t="shared" si="4"/>
        <v>2000</v>
      </c>
    </row>
    <row r="36" spans="1:6" x14ac:dyDescent="0.35">
      <c r="A36" s="20" t="s">
        <v>114</v>
      </c>
      <c r="B36" s="20" t="s">
        <v>9</v>
      </c>
      <c r="C36" s="20">
        <v>1000</v>
      </c>
      <c r="D36" s="20">
        <v>2</v>
      </c>
      <c r="E36" s="22">
        <f t="shared" si="3"/>
        <v>2000</v>
      </c>
      <c r="F36" s="22">
        <f t="shared" si="4"/>
        <v>2000</v>
      </c>
    </row>
    <row r="37" spans="1:6" x14ac:dyDescent="0.35">
      <c r="A37" s="20" t="s">
        <v>29</v>
      </c>
      <c r="B37" s="20" t="s">
        <v>9</v>
      </c>
      <c r="C37" s="20">
        <v>1400</v>
      </c>
      <c r="D37" s="20">
        <v>1</v>
      </c>
      <c r="E37" s="22">
        <f t="shared" si="3"/>
        <v>1400</v>
      </c>
      <c r="F37" s="22">
        <f t="shared" si="4"/>
        <v>1400</v>
      </c>
    </row>
    <row r="38" spans="1:6" x14ac:dyDescent="0.35">
      <c r="A38" s="23" t="s">
        <v>30</v>
      </c>
      <c r="B38" s="20"/>
      <c r="C38" s="20"/>
      <c r="D38" s="20"/>
      <c r="E38" s="22">
        <f>SUM(E33:E37)</f>
        <v>10120</v>
      </c>
      <c r="F38" s="22">
        <f>E38</f>
        <v>10120</v>
      </c>
    </row>
    <row r="39" spans="1:6" x14ac:dyDescent="0.35">
      <c r="A39" s="24" t="s">
        <v>31</v>
      </c>
      <c r="B39" s="20"/>
      <c r="C39" s="20"/>
      <c r="D39" s="20"/>
      <c r="E39" s="22">
        <f>E38*0.2409</f>
        <v>2437.9079999999999</v>
      </c>
      <c r="F39" s="22">
        <f t="shared" si="4"/>
        <v>2437.9079999999999</v>
      </c>
    </row>
    <row r="40" spans="1:6" x14ac:dyDescent="0.35">
      <c r="A40" s="23" t="s">
        <v>12</v>
      </c>
      <c r="B40" s="20"/>
      <c r="C40" s="20"/>
      <c r="D40" s="20"/>
      <c r="E40" s="22">
        <f>E38+E39</f>
        <v>12557.907999999999</v>
      </c>
      <c r="F40" s="22">
        <f>F38+F39</f>
        <v>12557.907999999999</v>
      </c>
    </row>
    <row r="41" spans="1:6" x14ac:dyDescent="0.35">
      <c r="A41" s="23" t="s">
        <v>232</v>
      </c>
      <c r="B41" s="20"/>
      <c r="C41" s="20"/>
      <c r="D41" s="20"/>
      <c r="E41" s="22">
        <f>SUM(E29:E32)</f>
        <v>437500</v>
      </c>
      <c r="F41" s="22">
        <f>SUM(F29:F32)</f>
        <v>529375</v>
      </c>
    </row>
    <row r="42" spans="1:6" x14ac:dyDescent="0.35">
      <c r="A42" s="23" t="s">
        <v>227</v>
      </c>
      <c r="B42" s="20"/>
      <c r="C42" s="20"/>
      <c r="D42" s="20"/>
      <c r="E42" s="22">
        <f>SUM(E29:E32)*0.05</f>
        <v>21875</v>
      </c>
      <c r="F42" s="22">
        <f>E42*1.21</f>
        <v>26468.75</v>
      </c>
    </row>
    <row r="43" spans="1:6" x14ac:dyDescent="0.35">
      <c r="A43" s="23" t="s">
        <v>233</v>
      </c>
      <c r="B43" s="20"/>
      <c r="C43" s="20"/>
      <c r="D43" s="20"/>
      <c r="E43" s="22">
        <f>SUM(E41:E42)</f>
        <v>459375</v>
      </c>
      <c r="F43" s="22">
        <f>SUM(F41:F42)</f>
        <v>555843.75</v>
      </c>
    </row>
    <row r="44" spans="1:6" x14ac:dyDescent="0.35">
      <c r="A44" s="19" t="s">
        <v>32</v>
      </c>
      <c r="B44" s="20"/>
      <c r="C44" s="20"/>
      <c r="D44" s="20"/>
      <c r="E44" s="20"/>
      <c r="F44" s="20"/>
    </row>
    <row r="45" spans="1:6" x14ac:dyDescent="0.35">
      <c r="A45" s="20" t="s">
        <v>33</v>
      </c>
      <c r="B45" s="20" t="s">
        <v>34</v>
      </c>
      <c r="C45" s="20">
        <v>5.24</v>
      </c>
      <c r="D45" s="20">
        <v>300</v>
      </c>
      <c r="E45" s="22">
        <f>C45*D45</f>
        <v>1572</v>
      </c>
      <c r="F45" s="22">
        <f>E45*1.21</f>
        <v>1902.12</v>
      </c>
    </row>
    <row r="46" spans="1:6" x14ac:dyDescent="0.35">
      <c r="A46" s="20" t="s">
        <v>35</v>
      </c>
      <c r="B46" s="20" t="s">
        <v>9</v>
      </c>
      <c r="C46" s="20">
        <v>50</v>
      </c>
      <c r="D46" s="20">
        <v>1</v>
      </c>
      <c r="E46" s="22">
        <f t="shared" ref="E46:E47" si="5">C46*D46</f>
        <v>50</v>
      </c>
      <c r="F46" s="22">
        <f t="shared" ref="F46:F48" si="6">E46*1.21</f>
        <v>60.5</v>
      </c>
    </row>
    <row r="47" spans="1:6" x14ac:dyDescent="0.35">
      <c r="A47" s="20" t="s">
        <v>36</v>
      </c>
      <c r="B47" s="20" t="s">
        <v>37</v>
      </c>
      <c r="C47" s="20">
        <v>5</v>
      </c>
      <c r="D47" s="20">
        <v>30</v>
      </c>
      <c r="E47" s="22">
        <f t="shared" si="5"/>
        <v>150</v>
      </c>
      <c r="F47" s="22">
        <f t="shared" si="6"/>
        <v>181.5</v>
      </c>
    </row>
    <row r="48" spans="1:6" x14ac:dyDescent="0.35">
      <c r="A48" s="25" t="s">
        <v>38</v>
      </c>
      <c r="B48" s="20"/>
      <c r="C48" s="20"/>
      <c r="D48" s="20"/>
      <c r="E48" s="22">
        <f>SUM(E45:E47)</f>
        <v>1772</v>
      </c>
      <c r="F48" s="22">
        <f t="shared" si="6"/>
        <v>2144.12</v>
      </c>
    </row>
    <row r="49" spans="1:6" x14ac:dyDescent="0.35">
      <c r="A49" s="20"/>
      <c r="B49" s="20"/>
      <c r="C49" s="20"/>
      <c r="D49" s="20"/>
      <c r="E49" s="22"/>
      <c r="F49" s="22"/>
    </row>
    <row r="50" spans="1:6" x14ac:dyDescent="0.35">
      <c r="A50" s="19" t="s">
        <v>39</v>
      </c>
      <c r="B50" s="20"/>
      <c r="C50" s="20"/>
      <c r="D50" s="20"/>
      <c r="E50" s="22"/>
      <c r="F50" s="22"/>
    </row>
    <row r="51" spans="1:6" x14ac:dyDescent="0.35">
      <c r="A51" s="20" t="s">
        <v>228</v>
      </c>
      <c r="B51" s="20" t="s">
        <v>9</v>
      </c>
      <c r="C51" s="20">
        <v>300</v>
      </c>
      <c r="D51" s="20">
        <v>2</v>
      </c>
      <c r="E51" s="22">
        <f>C51*D51</f>
        <v>600</v>
      </c>
      <c r="F51" s="22">
        <f>E51*1.21</f>
        <v>726</v>
      </c>
    </row>
    <row r="52" spans="1:6" x14ac:dyDescent="0.35">
      <c r="A52" s="25" t="s">
        <v>40</v>
      </c>
      <c r="B52" s="20"/>
      <c r="C52" s="20"/>
      <c r="D52" s="20"/>
      <c r="E52" s="22">
        <f>SUM(E51:E51)</f>
        <v>600</v>
      </c>
      <c r="F52" s="22">
        <f>E52*1.21</f>
        <v>726</v>
      </c>
    </row>
    <row r="53" spans="1:6" x14ac:dyDescent="0.35">
      <c r="A53" s="20"/>
      <c r="B53" s="20"/>
      <c r="C53" s="20"/>
      <c r="D53" s="20"/>
      <c r="E53" s="20"/>
      <c r="F53" s="20"/>
    </row>
    <row r="54" spans="1:6" x14ac:dyDescent="0.35">
      <c r="A54" s="28" t="s">
        <v>41</v>
      </c>
      <c r="B54" s="20"/>
      <c r="C54" s="20"/>
      <c r="D54" s="20"/>
      <c r="E54" s="29">
        <f>E40+E48+E52+E25+E43</f>
        <v>541972.60800000001</v>
      </c>
      <c r="F54" s="29">
        <f>F40+F48+F52+F25+F43</f>
        <v>639338.478</v>
      </c>
    </row>
    <row r="55" spans="1:6" x14ac:dyDescent="0.35">
      <c r="A55" s="30" t="s">
        <v>42</v>
      </c>
      <c r="B55" s="20"/>
      <c r="C55" s="20"/>
      <c r="D55" s="20"/>
      <c r="E55" s="29">
        <f>E54*0.1</f>
        <v>54197.260800000004</v>
      </c>
      <c r="F55" s="29">
        <f>F54*0.1</f>
        <v>63933.847800000003</v>
      </c>
    </row>
    <row r="56" spans="1:6" x14ac:dyDescent="0.35">
      <c r="A56" s="30" t="s">
        <v>43</v>
      </c>
      <c r="B56" s="20"/>
      <c r="C56" s="20"/>
      <c r="D56" s="20"/>
      <c r="E56" s="31">
        <f>E54+E55</f>
        <v>596169.86880000005</v>
      </c>
      <c r="F56" s="31">
        <f>F54+F55</f>
        <v>703272.32579999999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F0C8-F591-4B77-8297-62871F5EB8A4}">
  <dimension ref="A1:M10"/>
  <sheetViews>
    <sheetView workbookViewId="0">
      <selection activeCell="G10" sqref="G10"/>
    </sheetView>
  </sheetViews>
  <sheetFormatPr defaultRowHeight="14.5" x14ac:dyDescent="0.35"/>
  <cols>
    <col min="2" max="4" width="11.81640625" bestFit="1" customWidth="1"/>
    <col min="5" max="8" width="12.90625" bestFit="1" customWidth="1"/>
    <col min="11" max="11" width="53.36328125" customWidth="1"/>
    <col min="12" max="12" width="19.90625" customWidth="1"/>
    <col min="13" max="13" width="17.7265625" customWidth="1"/>
    <col min="14" max="14" width="21.36328125" customWidth="1"/>
  </cols>
  <sheetData>
    <row r="1" spans="1:13" x14ac:dyDescent="0.35">
      <c r="B1" t="s">
        <v>118</v>
      </c>
      <c r="C1" s="10" t="s">
        <v>236</v>
      </c>
      <c r="D1" s="10" t="s">
        <v>237</v>
      </c>
      <c r="E1" s="10" t="s">
        <v>238</v>
      </c>
      <c r="F1" s="10" t="s">
        <v>239</v>
      </c>
      <c r="G1" s="10" t="s">
        <v>240</v>
      </c>
      <c r="H1" t="s">
        <v>57</v>
      </c>
    </row>
    <row r="2" spans="1:13" x14ac:dyDescent="0.35">
      <c r="A2" t="s">
        <v>234</v>
      </c>
      <c r="B2" s="55">
        <f>$L10*0.001/4</f>
        <v>2425.0372425</v>
      </c>
      <c r="C2" s="55">
        <f>$L10*0.004</f>
        <v>38800.595880000001</v>
      </c>
      <c r="D2" s="55">
        <f>$L10*0.006</f>
        <v>58200.893820000005</v>
      </c>
      <c r="E2" s="55">
        <f>$L10*0.008</f>
        <v>77601.191760000002</v>
      </c>
      <c r="F2" s="55">
        <f>$L10*0.01</f>
        <v>97001.489700000006</v>
      </c>
      <c r="G2" s="55">
        <f>$L10*0.01</f>
        <v>97001.489700000006</v>
      </c>
      <c r="H2" s="55">
        <f>SUM(B2:G2)</f>
        <v>371030.69810250006</v>
      </c>
    </row>
    <row r="3" spans="1:13" x14ac:dyDescent="0.35">
      <c r="A3" t="s">
        <v>235</v>
      </c>
      <c r="B3" s="55">
        <f>$M9*0.001/4</f>
        <v>15476.189615000001</v>
      </c>
      <c r="C3" s="55">
        <f>$M9*0.004</f>
        <v>247619.03384000002</v>
      </c>
      <c r="D3" s="55">
        <f>$M9*0.006</f>
        <v>371428.55076000001</v>
      </c>
      <c r="E3" s="55">
        <f>$M9*0.008</f>
        <v>495238.06768000004</v>
      </c>
      <c r="F3" s="55">
        <f>$M9*0.01</f>
        <v>619047.58460000006</v>
      </c>
      <c r="G3" s="55">
        <f>$M9*0.01</f>
        <v>619047.58460000006</v>
      </c>
      <c r="H3" s="55">
        <f>SUM(B3:G3)</f>
        <v>2367857.0110950004</v>
      </c>
      <c r="K3" t="s">
        <v>241</v>
      </c>
    </row>
    <row r="4" spans="1:13" ht="14.5" customHeight="1" x14ac:dyDescent="0.35">
      <c r="B4" s="55">
        <f>SUM(B2:B3)</f>
        <v>17901.226857500002</v>
      </c>
      <c r="C4" s="55">
        <f t="shared" ref="C4:G4" si="0">SUM(C2:C3)</f>
        <v>286419.62972000003</v>
      </c>
      <c r="D4" s="55">
        <f t="shared" si="0"/>
        <v>429629.44458000001</v>
      </c>
      <c r="E4" s="55">
        <f t="shared" si="0"/>
        <v>572839.25944000005</v>
      </c>
      <c r="F4" s="55">
        <f t="shared" si="0"/>
        <v>716049.07430000009</v>
      </c>
      <c r="G4" s="55">
        <f t="shared" si="0"/>
        <v>716049.07430000009</v>
      </c>
      <c r="H4" s="55">
        <f>SUM(H2:H3)</f>
        <v>2738887.7091975007</v>
      </c>
      <c r="L4" s="51" t="s">
        <v>245</v>
      </c>
      <c r="M4" s="48" t="s">
        <v>246</v>
      </c>
    </row>
    <row r="5" spans="1:13" x14ac:dyDescent="0.35">
      <c r="L5" s="51"/>
      <c r="M5" s="49"/>
    </row>
    <row r="6" spans="1:13" x14ac:dyDescent="0.35">
      <c r="G6" s="46"/>
      <c r="K6" s="47" t="s">
        <v>244</v>
      </c>
      <c r="L6" s="54">
        <v>23256011.75</v>
      </c>
      <c r="M6" s="46">
        <v>49125376.789999999</v>
      </c>
    </row>
    <row r="7" spans="1:13" x14ac:dyDescent="0.35">
      <c r="K7" s="47" t="s">
        <v>243</v>
      </c>
      <c r="L7" s="54">
        <v>7020023.9500000002</v>
      </c>
      <c r="M7" s="46">
        <v>20567689.510000002</v>
      </c>
    </row>
    <row r="8" spans="1:13" ht="26" x14ac:dyDescent="0.35">
      <c r="K8" s="47" t="s">
        <v>242</v>
      </c>
      <c r="L8" s="54">
        <v>2680125.02</v>
      </c>
      <c r="M8" s="46">
        <v>1024017.55</v>
      </c>
    </row>
    <row r="9" spans="1:13" x14ac:dyDescent="0.35">
      <c r="K9" s="52" t="s">
        <v>247</v>
      </c>
      <c r="L9" s="53">
        <v>11379.059410000009</v>
      </c>
      <c r="M9" s="46">
        <v>61904758.460000001</v>
      </c>
    </row>
    <row r="10" spans="1:13" x14ac:dyDescent="0.35">
      <c r="L10" s="50">
        <f>SUM(L7:L8)</f>
        <v>9700148.9700000007</v>
      </c>
    </row>
  </sheetData>
  <mergeCells count="2">
    <mergeCell ref="M4:M5"/>
    <mergeCell ref="L4:L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D4BD-BEC7-47F5-AB37-5ABCDD95B176}">
  <dimension ref="A1:M11"/>
  <sheetViews>
    <sheetView workbookViewId="0">
      <selection activeCell="G3" sqref="G3"/>
    </sheetView>
  </sheetViews>
  <sheetFormatPr defaultRowHeight="14.5" x14ac:dyDescent="0.35"/>
  <cols>
    <col min="2" max="8" width="12.90625" bestFit="1" customWidth="1"/>
    <col min="11" max="11" width="63" customWidth="1"/>
    <col min="12" max="12" width="25.36328125" customWidth="1"/>
    <col min="13" max="13" width="24.7265625" customWidth="1"/>
  </cols>
  <sheetData>
    <row r="1" spans="1:13" x14ac:dyDescent="0.35">
      <c r="A1" s="10"/>
      <c r="B1" s="10" t="s">
        <v>118</v>
      </c>
      <c r="C1" s="10" t="s">
        <v>236</v>
      </c>
      <c r="D1" s="10" t="s">
        <v>237</v>
      </c>
      <c r="E1" s="10" t="s">
        <v>238</v>
      </c>
      <c r="F1" s="10" t="s">
        <v>239</v>
      </c>
      <c r="G1" s="10" t="s">
        <v>240</v>
      </c>
      <c r="H1" s="10" t="s">
        <v>57</v>
      </c>
      <c r="I1" s="10"/>
      <c r="J1" s="10"/>
      <c r="K1" s="10"/>
      <c r="L1" s="10"/>
      <c r="M1" s="10"/>
    </row>
    <row r="2" spans="1:13" x14ac:dyDescent="0.35">
      <c r="A2" s="10" t="s">
        <v>234</v>
      </c>
      <c r="B2" s="55">
        <f>$L10*0.001/4</f>
        <v>2425.0372425</v>
      </c>
      <c r="C2" s="55">
        <f>$L10*0.002</f>
        <v>19400.29794</v>
      </c>
      <c r="D2" s="55">
        <f>$L10*0.004</f>
        <v>38800.595880000001</v>
      </c>
      <c r="E2" s="55">
        <f>$L10*0.01</f>
        <v>97001.489700000006</v>
      </c>
      <c r="F2" s="55">
        <f>$L10*0.01</f>
        <v>97001.489700000006</v>
      </c>
      <c r="G2" s="55">
        <f>$L10*0.01</f>
        <v>97001.489700000006</v>
      </c>
      <c r="H2" s="55">
        <f>SUM(B2:G2)</f>
        <v>351630.40016249998</v>
      </c>
      <c r="I2" s="10"/>
      <c r="J2" s="10"/>
      <c r="K2" s="10"/>
      <c r="L2" s="10"/>
      <c r="M2" s="10"/>
    </row>
    <row r="3" spans="1:13" x14ac:dyDescent="0.35">
      <c r="A3" s="10" t="s">
        <v>235</v>
      </c>
      <c r="B3" s="55">
        <f>$M9*0.001/4</f>
        <v>15476.189615000001</v>
      </c>
      <c r="C3" s="55">
        <f>$M9*0.002</f>
        <v>123809.51692000001</v>
      </c>
      <c r="D3" s="55">
        <f>$M9*0.004</f>
        <v>247619.03384000002</v>
      </c>
      <c r="E3" s="55">
        <f>$M9*0.01</f>
        <v>619047.58460000006</v>
      </c>
      <c r="F3" s="55">
        <f>$M9*0.01</f>
        <v>619047.58460000006</v>
      </c>
      <c r="G3" s="55">
        <f>$M9*0.01</f>
        <v>619047.58460000006</v>
      </c>
      <c r="H3" s="55">
        <f>SUM(B3:G3)</f>
        <v>2244047.4941750001</v>
      </c>
      <c r="I3" s="10"/>
      <c r="J3" s="10"/>
      <c r="K3" s="10" t="s">
        <v>241</v>
      </c>
      <c r="L3" s="10"/>
      <c r="M3" s="10"/>
    </row>
    <row r="4" spans="1:13" x14ac:dyDescent="0.35">
      <c r="A4" s="10"/>
      <c r="B4" s="55">
        <f>SUM(B2:B3)</f>
        <v>17901.226857500002</v>
      </c>
      <c r="C4" s="55">
        <f t="shared" ref="C4:G4" si="0">SUM(C2:C3)</f>
        <v>143209.81486000001</v>
      </c>
      <c r="D4" s="55">
        <f t="shared" si="0"/>
        <v>286419.62972000003</v>
      </c>
      <c r="E4" s="55">
        <f t="shared" si="0"/>
        <v>716049.07430000009</v>
      </c>
      <c r="F4" s="55">
        <f t="shared" si="0"/>
        <v>716049.07430000009</v>
      </c>
      <c r="G4" s="55">
        <f t="shared" si="0"/>
        <v>716049.07430000009</v>
      </c>
      <c r="H4" s="55">
        <f>SUM(H2:H3)</f>
        <v>2595677.8943375</v>
      </c>
      <c r="I4" s="10"/>
      <c r="J4" s="10"/>
      <c r="K4" s="10"/>
      <c r="L4" s="51" t="s">
        <v>245</v>
      </c>
      <c r="M4" s="48" t="s">
        <v>246</v>
      </c>
    </row>
    <row r="5" spans="1:13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51"/>
      <c r="M5" s="49"/>
    </row>
    <row r="6" spans="1:13" x14ac:dyDescent="0.35">
      <c r="A6" s="10"/>
      <c r="B6" s="10"/>
      <c r="C6" s="10"/>
      <c r="D6" s="10"/>
      <c r="E6" s="10"/>
      <c r="F6" s="10"/>
      <c r="G6" s="46"/>
      <c r="H6" s="10"/>
      <c r="I6" s="10"/>
      <c r="J6" s="10"/>
      <c r="K6" s="47" t="s">
        <v>244</v>
      </c>
      <c r="L6" s="54">
        <v>23256011.75</v>
      </c>
      <c r="M6" s="46">
        <v>49125376.789999999</v>
      </c>
    </row>
    <row r="7" spans="1:13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47" t="s">
        <v>243</v>
      </c>
      <c r="L7" s="54">
        <v>7020023.9500000002</v>
      </c>
      <c r="M7" s="46">
        <v>20567689.510000002</v>
      </c>
    </row>
    <row r="8" spans="1:13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47" t="s">
        <v>242</v>
      </c>
      <c r="L8" s="54">
        <v>2680125.02</v>
      </c>
      <c r="M8" s="46">
        <v>1024017.55</v>
      </c>
    </row>
    <row r="9" spans="1:13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52" t="s">
        <v>247</v>
      </c>
      <c r="L9" s="53">
        <v>11379.059410000009</v>
      </c>
      <c r="M9" s="46">
        <v>61904758.460000001</v>
      </c>
    </row>
    <row r="10" spans="1:13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50">
        <f>SUM(L7:L8)</f>
        <v>9700148.9700000007</v>
      </c>
      <c r="M10" s="10"/>
    </row>
    <row r="11" spans="1:13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</sheetData>
  <mergeCells count="2">
    <mergeCell ref="L4:L5"/>
    <mergeCell ref="M4:M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DEAD-0576-44C0-B400-D6EFCFB3A0FB}">
  <dimension ref="A1:M15"/>
  <sheetViews>
    <sheetView workbookViewId="0">
      <selection activeCell="K13" sqref="K13"/>
    </sheetView>
  </sheetViews>
  <sheetFormatPr defaultRowHeight="14.5" x14ac:dyDescent="0.35"/>
  <cols>
    <col min="1" max="1" width="24.453125" bestFit="1" customWidth="1"/>
    <col min="2" max="2" width="9.453125" customWidth="1"/>
    <col min="3" max="12" width="9.453125" bestFit="1" customWidth="1"/>
    <col min="13" max="13" width="10.453125" bestFit="1" customWidth="1"/>
  </cols>
  <sheetData>
    <row r="1" spans="1:13" x14ac:dyDescent="0.35">
      <c r="A1" s="10" t="s">
        <v>249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12" t="s">
        <v>61</v>
      </c>
      <c r="B2" s="10" t="s">
        <v>62</v>
      </c>
      <c r="C2" s="10" t="s">
        <v>63</v>
      </c>
      <c r="D2" s="10" t="s">
        <v>64</v>
      </c>
      <c r="E2" s="10" t="s">
        <v>65</v>
      </c>
      <c r="F2" s="10" t="s">
        <v>66</v>
      </c>
      <c r="G2" s="10" t="s">
        <v>67</v>
      </c>
      <c r="H2" s="10" t="s">
        <v>68</v>
      </c>
      <c r="I2" s="10" t="s">
        <v>69</v>
      </c>
      <c r="J2" s="10" t="s">
        <v>70</v>
      </c>
      <c r="K2" s="10" t="s">
        <v>71</v>
      </c>
      <c r="L2" s="10" t="s">
        <v>72</v>
      </c>
      <c r="M2" s="10" t="s">
        <v>73</v>
      </c>
    </row>
    <row r="3" spans="1:13" x14ac:dyDescent="0.35">
      <c r="A3" s="12" t="s">
        <v>74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35">
      <c r="A4" s="10" t="s">
        <v>75</v>
      </c>
      <c r="B4" s="5">
        <v>300</v>
      </c>
      <c r="C4" s="5">
        <v>300</v>
      </c>
      <c r="D4" s="5">
        <v>300</v>
      </c>
      <c r="E4" s="5">
        <v>300</v>
      </c>
      <c r="F4" s="5">
        <v>300</v>
      </c>
      <c r="G4" s="5">
        <v>300</v>
      </c>
      <c r="H4" s="5">
        <v>300</v>
      </c>
      <c r="I4" s="5">
        <v>300</v>
      </c>
      <c r="J4" s="5">
        <v>300</v>
      </c>
      <c r="K4" s="5">
        <v>300</v>
      </c>
      <c r="L4" s="5">
        <v>300</v>
      </c>
      <c r="M4" s="5">
        <v>300</v>
      </c>
    </row>
    <row r="5" spans="1:13" x14ac:dyDescent="0.35">
      <c r="A5" s="10" t="s">
        <v>76</v>
      </c>
      <c r="B5" s="5">
        <v>300</v>
      </c>
      <c r="C5" s="5">
        <v>300</v>
      </c>
      <c r="D5" s="5">
        <v>300</v>
      </c>
      <c r="E5" s="5">
        <v>300</v>
      </c>
      <c r="F5" s="5">
        <v>300</v>
      </c>
      <c r="G5" s="5">
        <v>300</v>
      </c>
      <c r="H5" s="5">
        <v>300</v>
      </c>
      <c r="I5" s="5">
        <v>300</v>
      </c>
      <c r="J5" s="5">
        <v>300</v>
      </c>
      <c r="K5" s="5">
        <v>300</v>
      </c>
      <c r="L5" s="5">
        <v>300</v>
      </c>
      <c r="M5" s="5">
        <v>300</v>
      </c>
    </row>
    <row r="6" spans="1:13" x14ac:dyDescent="0.35">
      <c r="A6" s="10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35">
      <c r="A7" s="12" t="s">
        <v>77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5">
      <c r="A8" s="10" t="s">
        <v>27</v>
      </c>
      <c r="B8" s="5">
        <v>900</v>
      </c>
      <c r="C8" s="5">
        <v>900</v>
      </c>
      <c r="D8" s="5">
        <v>900</v>
      </c>
      <c r="E8" s="5">
        <v>900</v>
      </c>
      <c r="F8" s="5">
        <v>900</v>
      </c>
      <c r="G8" s="5">
        <v>900</v>
      </c>
      <c r="H8" s="5">
        <v>900</v>
      </c>
      <c r="I8" s="5">
        <v>900</v>
      </c>
      <c r="J8" s="5">
        <v>900</v>
      </c>
      <c r="K8" s="5">
        <v>900</v>
      </c>
      <c r="L8" s="5">
        <v>900</v>
      </c>
      <c r="M8" s="5">
        <v>900</v>
      </c>
    </row>
    <row r="9" spans="1:13" x14ac:dyDescent="0.35">
      <c r="A9" s="10" t="s">
        <v>78</v>
      </c>
      <c r="B9" s="5">
        <v>600</v>
      </c>
      <c r="C9" s="5">
        <v>600</v>
      </c>
      <c r="D9" s="5">
        <v>600</v>
      </c>
      <c r="E9" s="5">
        <v>600</v>
      </c>
      <c r="F9" s="5">
        <v>600</v>
      </c>
      <c r="G9" s="5">
        <v>600</v>
      </c>
      <c r="H9" s="5">
        <v>600</v>
      </c>
      <c r="I9" s="5">
        <v>600</v>
      </c>
      <c r="J9" s="5">
        <v>600</v>
      </c>
      <c r="K9" s="5">
        <v>600</v>
      </c>
      <c r="L9" s="5">
        <v>600</v>
      </c>
      <c r="M9" s="5">
        <v>600</v>
      </c>
    </row>
    <row r="10" spans="1:13" x14ac:dyDescent="0.35">
      <c r="A10" s="10" t="s">
        <v>29</v>
      </c>
      <c r="B10" s="5">
        <v>1400</v>
      </c>
      <c r="C10" s="5">
        <v>0</v>
      </c>
      <c r="D10" s="5">
        <v>0</v>
      </c>
      <c r="E10" s="5">
        <v>1400</v>
      </c>
      <c r="F10" s="5">
        <v>0</v>
      </c>
      <c r="G10" s="5">
        <v>1400</v>
      </c>
      <c r="H10" s="5">
        <v>0</v>
      </c>
      <c r="I10" s="5">
        <v>0</v>
      </c>
      <c r="J10" s="5">
        <v>0</v>
      </c>
      <c r="K10" s="5">
        <v>1400</v>
      </c>
      <c r="L10" s="5">
        <v>0</v>
      </c>
      <c r="M10" s="5">
        <v>0</v>
      </c>
    </row>
    <row r="11" spans="1:13" x14ac:dyDescent="0.35">
      <c r="A11" s="10" t="s">
        <v>79</v>
      </c>
      <c r="B11" s="5">
        <f>SUM(B8:B10)*0.2409</f>
        <v>698.61</v>
      </c>
      <c r="C11" s="5">
        <f t="shared" ref="C11:M11" si="0">SUM(C8:C10)*0.2409</f>
        <v>361.35</v>
      </c>
      <c r="D11" s="5">
        <f t="shared" si="0"/>
        <v>361.35</v>
      </c>
      <c r="E11" s="5">
        <f t="shared" si="0"/>
        <v>698.61</v>
      </c>
      <c r="F11" s="5">
        <f t="shared" si="0"/>
        <v>361.35</v>
      </c>
      <c r="G11" s="5">
        <f t="shared" si="0"/>
        <v>698.61</v>
      </c>
      <c r="H11" s="5">
        <f t="shared" si="0"/>
        <v>361.35</v>
      </c>
      <c r="I11" s="5">
        <f t="shared" si="0"/>
        <v>361.35</v>
      </c>
      <c r="J11" s="5">
        <f t="shared" si="0"/>
        <v>361.35</v>
      </c>
      <c r="K11" s="5">
        <f t="shared" si="0"/>
        <v>698.61</v>
      </c>
      <c r="L11" s="5">
        <f t="shared" si="0"/>
        <v>361.35</v>
      </c>
      <c r="M11" s="5">
        <f t="shared" si="0"/>
        <v>361.35</v>
      </c>
    </row>
    <row r="12" spans="1:13" x14ac:dyDescent="0.35">
      <c r="A12" s="10" t="s">
        <v>80</v>
      </c>
      <c r="B12" s="5">
        <v>400</v>
      </c>
      <c r="C12" s="5">
        <v>0</v>
      </c>
      <c r="D12" s="5">
        <v>0</v>
      </c>
      <c r="E12" s="5">
        <v>400</v>
      </c>
      <c r="F12" s="5">
        <v>0</v>
      </c>
      <c r="G12" s="5">
        <v>1600</v>
      </c>
      <c r="H12" s="5">
        <v>0</v>
      </c>
      <c r="I12" s="5">
        <v>0</v>
      </c>
      <c r="J12" s="5">
        <v>0</v>
      </c>
      <c r="K12" s="5">
        <v>400</v>
      </c>
      <c r="L12" s="5">
        <v>0</v>
      </c>
      <c r="M12" s="5">
        <v>0</v>
      </c>
    </row>
    <row r="13" spans="1:13" x14ac:dyDescent="0.35">
      <c r="A13" s="10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12" t="s">
        <v>81</v>
      </c>
      <c r="B14" s="5">
        <f>SUM(B4:B12)</f>
        <v>4598.6099999999997</v>
      </c>
      <c r="C14" s="5">
        <f>SUM(C4:C12)</f>
        <v>2461.35</v>
      </c>
      <c r="D14" s="5">
        <f t="shared" ref="C14:M14" si="1">SUM(D4:D12)</f>
        <v>2461.35</v>
      </c>
      <c r="E14" s="5">
        <f t="shared" si="1"/>
        <v>4598.6099999999997</v>
      </c>
      <c r="F14" s="5">
        <f t="shared" si="1"/>
        <v>2461.35</v>
      </c>
      <c r="G14" s="5">
        <f t="shared" si="1"/>
        <v>5798.61</v>
      </c>
      <c r="H14" s="5">
        <f t="shared" si="1"/>
        <v>2461.35</v>
      </c>
      <c r="I14" s="5">
        <f t="shared" si="1"/>
        <v>2461.35</v>
      </c>
      <c r="J14" s="5">
        <f t="shared" si="1"/>
        <v>2461.35</v>
      </c>
      <c r="K14" s="5">
        <f t="shared" si="1"/>
        <v>4598.6099999999997</v>
      </c>
      <c r="L14" s="5">
        <f t="shared" si="1"/>
        <v>2461.35</v>
      </c>
      <c r="M14" s="5">
        <f t="shared" si="1"/>
        <v>2461.35</v>
      </c>
    </row>
    <row r="15" spans="1:13" x14ac:dyDescent="0.35">
      <c r="A15" s="12" t="s">
        <v>82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>
        <f>SUM(B14:M14)</f>
        <v>39285.239999999991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FE18-7E95-4F3D-94DE-C133B9F2C7B9}">
  <dimension ref="A1:M12"/>
  <sheetViews>
    <sheetView workbookViewId="0"/>
  </sheetViews>
  <sheetFormatPr defaultRowHeight="14.5" x14ac:dyDescent="0.35"/>
  <cols>
    <col min="1" max="1" width="24.453125" bestFit="1" customWidth="1"/>
  </cols>
  <sheetData>
    <row r="1" spans="1:13" x14ac:dyDescent="0.35">
      <c r="A1" s="10" t="s">
        <v>121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12" t="s">
        <v>61</v>
      </c>
      <c r="B2" s="10" t="s">
        <v>62</v>
      </c>
      <c r="C2" s="10" t="s">
        <v>63</v>
      </c>
      <c r="D2" s="10" t="s">
        <v>64</v>
      </c>
      <c r="E2" s="10" t="s">
        <v>65</v>
      </c>
      <c r="F2" s="10" t="s">
        <v>66</v>
      </c>
      <c r="G2" s="10" t="s">
        <v>67</v>
      </c>
      <c r="H2" s="10" t="s">
        <v>68</v>
      </c>
      <c r="I2" s="10" t="s">
        <v>69</v>
      </c>
      <c r="J2" s="10" t="s">
        <v>70</v>
      </c>
      <c r="K2" s="10" t="s">
        <v>71</v>
      </c>
      <c r="L2" s="10" t="s">
        <v>72</v>
      </c>
      <c r="M2" s="10" t="s">
        <v>73</v>
      </c>
    </row>
    <row r="3" spans="1:13" x14ac:dyDescent="0.35">
      <c r="A3" s="12" t="s">
        <v>74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35">
      <c r="A4" s="10" t="s">
        <v>75</v>
      </c>
      <c r="B4" s="10">
        <v>150</v>
      </c>
      <c r="C4" s="10">
        <v>150</v>
      </c>
      <c r="D4" s="10">
        <v>150</v>
      </c>
      <c r="E4" s="10">
        <v>150</v>
      </c>
      <c r="F4" s="10">
        <v>150</v>
      </c>
      <c r="G4" s="10">
        <v>150</v>
      </c>
      <c r="H4" s="10">
        <v>150</v>
      </c>
      <c r="I4" s="10">
        <v>150</v>
      </c>
      <c r="J4" s="10">
        <v>150</v>
      </c>
      <c r="K4" s="10">
        <v>150</v>
      </c>
      <c r="L4" s="10">
        <v>150</v>
      </c>
      <c r="M4" s="10">
        <v>150</v>
      </c>
    </row>
    <row r="5" spans="1:13" x14ac:dyDescent="0.35">
      <c r="A5" s="10" t="s">
        <v>76</v>
      </c>
      <c r="B5" s="10">
        <v>100</v>
      </c>
      <c r="C5" s="10">
        <v>100</v>
      </c>
      <c r="D5" s="10">
        <v>100</v>
      </c>
      <c r="E5" s="10">
        <v>100</v>
      </c>
      <c r="F5" s="10">
        <v>100</v>
      </c>
      <c r="G5" s="10">
        <v>100</v>
      </c>
      <c r="H5" s="10">
        <v>100</v>
      </c>
      <c r="I5" s="10">
        <v>100</v>
      </c>
      <c r="J5" s="10">
        <v>100</v>
      </c>
      <c r="K5" s="10">
        <v>100</v>
      </c>
      <c r="L5" s="10">
        <v>100</v>
      </c>
      <c r="M5" s="10">
        <v>100</v>
      </c>
    </row>
    <row r="7" spans="1:13" x14ac:dyDescent="0.35">
      <c r="A7" s="12" t="s">
        <v>77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35">
      <c r="A8" s="10" t="s">
        <v>27</v>
      </c>
      <c r="B8" s="10">
        <v>900</v>
      </c>
      <c r="C8" s="10">
        <v>900</v>
      </c>
      <c r="D8" s="10">
        <v>900</v>
      </c>
      <c r="E8" s="10">
        <v>900</v>
      </c>
      <c r="F8" s="10">
        <v>900</v>
      </c>
      <c r="G8" s="10">
        <v>900</v>
      </c>
      <c r="H8" s="10">
        <v>900</v>
      </c>
      <c r="I8" s="10">
        <v>900</v>
      </c>
      <c r="J8" s="10">
        <v>900</v>
      </c>
      <c r="K8" s="10">
        <v>900</v>
      </c>
      <c r="L8" s="10">
        <v>900</v>
      </c>
      <c r="M8" s="10">
        <v>900</v>
      </c>
    </row>
    <row r="9" spans="1:13" x14ac:dyDescent="0.35">
      <c r="A9" s="10" t="s">
        <v>78</v>
      </c>
      <c r="B9" s="10">
        <v>600</v>
      </c>
      <c r="C9" s="10">
        <v>600</v>
      </c>
      <c r="D9" s="10">
        <v>600</v>
      </c>
      <c r="E9" s="10">
        <v>600</v>
      </c>
      <c r="F9" s="10">
        <v>600</v>
      </c>
      <c r="G9" s="10">
        <v>600</v>
      </c>
      <c r="H9" s="10">
        <v>600</v>
      </c>
      <c r="I9" s="10">
        <v>600</v>
      </c>
      <c r="J9" s="10">
        <v>600</v>
      </c>
      <c r="K9" s="10">
        <v>600</v>
      </c>
      <c r="L9" s="10">
        <v>600</v>
      </c>
      <c r="M9" s="10">
        <v>600</v>
      </c>
    </row>
    <row r="10" spans="1:13" x14ac:dyDescent="0.35">
      <c r="A10" s="10" t="s">
        <v>79</v>
      </c>
      <c r="B10" s="10">
        <f>SUM(B7:B9)*0.2409</f>
        <v>361.35</v>
      </c>
      <c r="C10" s="10">
        <f t="shared" ref="C10:M10" si="0">SUM(C7:C9)*0.2409</f>
        <v>361.35</v>
      </c>
      <c r="D10" s="10">
        <f t="shared" si="0"/>
        <v>361.35</v>
      </c>
      <c r="E10" s="10">
        <f t="shared" si="0"/>
        <v>361.35</v>
      </c>
      <c r="F10" s="10">
        <f t="shared" si="0"/>
        <v>361.35</v>
      </c>
      <c r="G10" s="10">
        <f t="shared" si="0"/>
        <v>361.35</v>
      </c>
      <c r="H10" s="10">
        <f t="shared" si="0"/>
        <v>361.35</v>
      </c>
      <c r="I10" s="10">
        <f t="shared" si="0"/>
        <v>361.35</v>
      </c>
      <c r="J10" s="10">
        <f t="shared" si="0"/>
        <v>361.35</v>
      </c>
      <c r="K10" s="10">
        <f t="shared" si="0"/>
        <v>361.35</v>
      </c>
      <c r="L10" s="10">
        <f t="shared" si="0"/>
        <v>361.35</v>
      </c>
      <c r="M10" s="10">
        <f t="shared" si="0"/>
        <v>361.35</v>
      </c>
    </row>
    <row r="11" spans="1:13" x14ac:dyDescent="0.35">
      <c r="A11" s="12" t="s">
        <v>81</v>
      </c>
      <c r="B11" s="10">
        <f>SUM(B4:B10)</f>
        <v>2111.35</v>
      </c>
      <c r="C11" s="10">
        <f t="shared" ref="C11:M11" si="1">SUM(C4:C10)</f>
        <v>2111.35</v>
      </c>
      <c r="D11" s="10">
        <f t="shared" si="1"/>
        <v>2111.35</v>
      </c>
      <c r="E11" s="10">
        <f t="shared" si="1"/>
        <v>2111.35</v>
      </c>
      <c r="F11" s="10">
        <f t="shared" si="1"/>
        <v>2111.35</v>
      </c>
      <c r="G11" s="10">
        <f t="shared" si="1"/>
        <v>2111.35</v>
      </c>
      <c r="H11" s="10">
        <f t="shared" si="1"/>
        <v>2111.35</v>
      </c>
      <c r="I11" s="10">
        <f t="shared" si="1"/>
        <v>2111.35</v>
      </c>
      <c r="J11" s="10">
        <f t="shared" si="1"/>
        <v>2111.35</v>
      </c>
      <c r="K11" s="10">
        <f t="shared" si="1"/>
        <v>2111.35</v>
      </c>
      <c r="L11" s="10">
        <f t="shared" si="1"/>
        <v>2111.35</v>
      </c>
      <c r="M11" s="10">
        <f t="shared" si="1"/>
        <v>2111.35</v>
      </c>
    </row>
    <row r="12" spans="1:13" x14ac:dyDescent="0.35">
      <c r="A12" s="12" t="s">
        <v>82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2">
        <f>SUM(B11:M11)</f>
        <v>25336.199999999993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BE13-1B92-47A6-B7AE-7D547046BB38}">
  <dimension ref="A2:O30"/>
  <sheetViews>
    <sheetView workbookViewId="0">
      <selection activeCell="I16" sqref="I16"/>
    </sheetView>
  </sheetViews>
  <sheetFormatPr defaultRowHeight="14.5" x14ac:dyDescent="0.35"/>
  <cols>
    <col min="1" max="1" width="8.7265625" style="10"/>
    <col min="2" max="2" width="9.1796875" customWidth="1"/>
    <col min="3" max="3" width="37.54296875" customWidth="1"/>
    <col min="4" max="14" width="15.54296875" customWidth="1"/>
    <col min="15" max="15" width="11.81640625" bestFit="1" customWidth="1"/>
  </cols>
  <sheetData>
    <row r="2" spans="2:15" x14ac:dyDescent="0.35">
      <c r="B2" s="10"/>
      <c r="C2" s="3" t="s">
        <v>83</v>
      </c>
      <c r="D2" s="10">
        <v>0</v>
      </c>
      <c r="E2" s="10">
        <v>1</v>
      </c>
      <c r="F2" s="10">
        <v>2</v>
      </c>
      <c r="G2" s="10">
        <v>3</v>
      </c>
      <c r="H2" s="10">
        <v>4</v>
      </c>
      <c r="I2" s="10">
        <v>5</v>
      </c>
      <c r="J2" s="10"/>
      <c r="K2" s="10"/>
      <c r="L2" s="10"/>
      <c r="M2" s="10"/>
      <c r="N2" s="10"/>
      <c r="O2" s="10"/>
    </row>
    <row r="3" spans="2:15" s="10" customFormat="1" x14ac:dyDescent="0.35">
      <c r="C3" s="3"/>
    </row>
    <row r="4" spans="2:15" x14ac:dyDescent="0.35">
      <c r="B4" s="34" t="s">
        <v>84</v>
      </c>
      <c r="C4" s="3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0"/>
    </row>
    <row r="5" spans="2:15" s="10" customFormat="1" x14ac:dyDescent="0.35">
      <c r="B5" s="13" t="s">
        <v>122</v>
      </c>
      <c r="C5" s="13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5" x14ac:dyDescent="0.35">
      <c r="B6" s="36" t="s">
        <v>248</v>
      </c>
      <c r="C6" s="36"/>
      <c r="D6" s="5">
        <f>'B ieguvumi'!B4</f>
        <v>17901.226857500002</v>
      </c>
      <c r="E6" s="5">
        <f>'B ieguvumi'!C4</f>
        <v>286419.62972000003</v>
      </c>
      <c r="F6" s="5">
        <f>'B ieguvumi'!D4</f>
        <v>429629.44458000001</v>
      </c>
      <c r="G6" s="5">
        <f>'B ieguvumi'!E4</f>
        <v>572839.25944000005</v>
      </c>
      <c r="H6" s="5">
        <f>'B ieguvumi'!F4</f>
        <v>716049.07430000009</v>
      </c>
      <c r="I6" s="5">
        <f>'B ieguvumi'!G4</f>
        <v>716049.07430000009</v>
      </c>
      <c r="J6" s="5"/>
      <c r="K6" s="5"/>
      <c r="L6" s="5"/>
      <c r="M6" s="5"/>
      <c r="N6" s="5"/>
      <c r="O6" s="10"/>
    </row>
    <row r="7" spans="2:15" x14ac:dyDescent="0.35">
      <c r="B7" s="36" t="s">
        <v>85</v>
      </c>
      <c r="C7" s="36"/>
      <c r="D7" s="5"/>
      <c r="E7" s="5">
        <f>'B izdevumi'!$M$15</f>
        <v>39285.239999999991</v>
      </c>
      <c r="F7" s="5">
        <f>'B izdevumi'!$M$15</f>
        <v>39285.239999999991</v>
      </c>
      <c r="G7" s="5">
        <f>'B izdevumi'!$M$15</f>
        <v>39285.239999999991</v>
      </c>
      <c r="H7" s="5">
        <f>'B izdevumi'!$M$15</f>
        <v>39285.239999999991</v>
      </c>
      <c r="I7" s="5">
        <f>'B izdevumi'!$M$15</f>
        <v>39285.239999999991</v>
      </c>
      <c r="J7" s="5"/>
      <c r="K7" s="5"/>
      <c r="L7" s="5"/>
      <c r="M7" s="5"/>
      <c r="N7" s="5"/>
      <c r="O7" s="10"/>
    </row>
    <row r="8" spans="2:15" x14ac:dyDescent="0.35">
      <c r="B8" s="36" t="s">
        <v>86</v>
      </c>
      <c r="C8" s="36"/>
      <c r="D8" s="5">
        <f>D6-D7</f>
        <v>17901.226857500002</v>
      </c>
      <c r="E8" s="5">
        <f t="shared" ref="E8:I8" si="0">E6-E7</f>
        <v>247134.38972000004</v>
      </c>
      <c r="F8" s="5">
        <f t="shared" si="0"/>
        <v>390344.20458000002</v>
      </c>
      <c r="G8" s="5">
        <f t="shared" si="0"/>
        <v>533554.01944000006</v>
      </c>
      <c r="H8" s="5">
        <f t="shared" si="0"/>
        <v>676763.8343000001</v>
      </c>
      <c r="I8" s="5">
        <f t="shared" si="0"/>
        <v>676763.8343000001</v>
      </c>
      <c r="J8" s="5"/>
      <c r="K8" s="5"/>
      <c r="L8" s="5"/>
      <c r="M8" s="5"/>
      <c r="N8" s="5"/>
      <c r="O8" s="10"/>
    </row>
    <row r="9" spans="2:15" x14ac:dyDescent="0.35">
      <c r="B9" s="37" t="s">
        <v>87</v>
      </c>
      <c r="C9" s="37"/>
      <c r="D9" s="6">
        <f>D8-0</f>
        <v>17901.226857500002</v>
      </c>
      <c r="E9" s="6">
        <f t="shared" ref="E9:I9" si="1">E8-0</f>
        <v>247134.38972000004</v>
      </c>
      <c r="F9" s="6">
        <f t="shared" si="1"/>
        <v>390344.20458000002</v>
      </c>
      <c r="G9" s="6">
        <f t="shared" si="1"/>
        <v>533554.01944000006</v>
      </c>
      <c r="H9" s="6">
        <f t="shared" si="1"/>
        <v>676763.8343000001</v>
      </c>
      <c r="I9" s="6">
        <f t="shared" si="1"/>
        <v>676763.8343000001</v>
      </c>
      <c r="J9" s="6"/>
      <c r="K9" s="6"/>
      <c r="L9" s="6"/>
      <c r="M9" s="6"/>
      <c r="N9" s="6"/>
      <c r="O9" s="10"/>
    </row>
    <row r="10" spans="2:15" x14ac:dyDescent="0.35">
      <c r="B10" s="37" t="s">
        <v>88</v>
      </c>
      <c r="C10" s="37"/>
      <c r="D10" s="5">
        <f>D9</f>
        <v>17901.226857500002</v>
      </c>
      <c r="E10" s="5">
        <f t="shared" ref="E10:I10" si="2">E9</f>
        <v>247134.38972000004</v>
      </c>
      <c r="F10" s="5">
        <f t="shared" si="2"/>
        <v>390344.20458000002</v>
      </c>
      <c r="G10" s="5">
        <f t="shared" si="2"/>
        <v>533554.01944000006</v>
      </c>
      <c r="H10" s="5">
        <f t="shared" si="2"/>
        <v>676763.8343000001</v>
      </c>
      <c r="I10" s="5">
        <f t="shared" si="2"/>
        <v>676763.8343000001</v>
      </c>
      <c r="J10" s="5"/>
      <c r="K10" s="5"/>
      <c r="L10" s="5"/>
      <c r="M10" s="5"/>
      <c r="N10" s="5"/>
      <c r="O10" s="10"/>
    </row>
    <row r="11" spans="2:15" x14ac:dyDescent="0.35">
      <c r="B11" s="37" t="s">
        <v>89</v>
      </c>
      <c r="C11" s="37"/>
      <c r="D11" s="6">
        <f>'B izmaksas'!E56</f>
        <v>596169.86880000005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10"/>
    </row>
    <row r="12" spans="2:15" x14ac:dyDescent="0.35">
      <c r="B12" s="37" t="s">
        <v>90</v>
      </c>
      <c r="C12" s="37"/>
      <c r="D12" s="6">
        <f>D10-D11</f>
        <v>-578268.64194250002</v>
      </c>
      <c r="E12" s="6">
        <f>E10+D12</f>
        <v>-331134.25222249998</v>
      </c>
      <c r="F12" s="6">
        <f t="shared" ref="F12:I12" si="3">F10+E12</f>
        <v>59209.952357500035</v>
      </c>
      <c r="G12" s="6">
        <f t="shared" si="3"/>
        <v>592763.97179750004</v>
      </c>
      <c r="H12" s="6">
        <f t="shared" si="3"/>
        <v>1269527.8060975</v>
      </c>
      <c r="I12" s="6">
        <f t="shared" si="3"/>
        <v>1946291.6403975002</v>
      </c>
      <c r="J12" s="6"/>
      <c r="K12" s="6"/>
      <c r="L12" s="6"/>
      <c r="M12" s="6"/>
      <c r="N12" s="6"/>
      <c r="O12" s="10"/>
    </row>
    <row r="13" spans="2:15" x14ac:dyDescent="0.35">
      <c r="B13" s="35"/>
      <c r="C13" s="3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0"/>
    </row>
    <row r="14" spans="2:15" x14ac:dyDescent="0.35">
      <c r="B14" s="37" t="str">
        <f>_xlfn.CONCAT("Diskonta faktors pie r=",C29)</f>
        <v>Diskonta faktors pie r=0.45</v>
      </c>
      <c r="C14" s="37"/>
      <c r="D14" s="7">
        <f>1/POWER((1+$C29),D2)</f>
        <v>1</v>
      </c>
      <c r="E14" s="7">
        <f>1/POWER((1+$C29),E2)</f>
        <v>0.68965517241379315</v>
      </c>
      <c r="F14" s="7">
        <f>1/POWER((1+$C29),F2)</f>
        <v>0.47562425683709869</v>
      </c>
      <c r="G14" s="7">
        <f>1/POWER((1+$C29),G2)</f>
        <v>0.32801672885317151</v>
      </c>
      <c r="H14" s="7">
        <f>1/POWER((1+$C29),H2)</f>
        <v>0.22621843369184244</v>
      </c>
      <c r="I14" s="7">
        <f>1/POWER((1+$C29),I2)</f>
        <v>0.15601271289092583</v>
      </c>
      <c r="J14" s="7"/>
      <c r="K14" s="7"/>
      <c r="L14" s="7"/>
      <c r="M14" s="7"/>
      <c r="N14" s="7"/>
      <c r="O14" s="7"/>
    </row>
    <row r="15" spans="2:15" x14ac:dyDescent="0.35">
      <c r="B15" s="37" t="s">
        <v>91</v>
      </c>
      <c r="C15" s="37"/>
      <c r="D15" s="5">
        <f>D9*D14</f>
        <v>17901.226857500002</v>
      </c>
      <c r="E15" s="5">
        <f t="shared" ref="E15:I15" si="4">E9*E14</f>
        <v>170437.51015172419</v>
      </c>
      <c r="F15" s="5">
        <f t="shared" si="4"/>
        <v>185657.17221403093</v>
      </c>
      <c r="G15" s="5">
        <f t="shared" si="4"/>
        <v>175014.64412317029</v>
      </c>
      <c r="H15" s="5">
        <f t="shared" si="4"/>
        <v>153096.45457463161</v>
      </c>
      <c r="I15" s="5">
        <f t="shared" si="4"/>
        <v>105583.76177560801</v>
      </c>
      <c r="J15" s="5"/>
      <c r="K15" s="5"/>
      <c r="L15" s="5"/>
      <c r="M15" s="5"/>
      <c r="N15" s="5"/>
      <c r="O15" s="10"/>
    </row>
    <row r="16" spans="2:15" x14ac:dyDescent="0.35">
      <c r="B16" s="37" t="s">
        <v>92</v>
      </c>
      <c r="C16" s="37"/>
      <c r="D16" s="5"/>
      <c r="E16" s="5"/>
      <c r="F16" s="5"/>
      <c r="G16" s="5"/>
      <c r="H16" s="5"/>
      <c r="I16" s="5">
        <f>SUM(D15:I15)</f>
        <v>807690.76969666511</v>
      </c>
      <c r="J16" s="5"/>
      <c r="K16" s="5"/>
      <c r="L16" s="5"/>
      <c r="M16" s="5"/>
      <c r="N16" s="5"/>
      <c r="O16" s="5"/>
    </row>
    <row r="17" spans="2:15" x14ac:dyDescent="0.35">
      <c r="B17" s="37" t="s">
        <v>93</v>
      </c>
      <c r="C17" s="37"/>
      <c r="D17" s="5"/>
      <c r="E17" s="5"/>
      <c r="F17" s="5"/>
      <c r="G17" s="5"/>
      <c r="H17" s="5"/>
      <c r="I17" s="5">
        <f>I16-D11</f>
        <v>211520.90089666506</v>
      </c>
      <c r="J17" s="5"/>
      <c r="K17" s="5"/>
      <c r="L17" s="5"/>
      <c r="M17" s="5"/>
      <c r="N17" s="5"/>
      <c r="O17" s="10"/>
    </row>
    <row r="18" spans="2:15" x14ac:dyDescent="0.35">
      <c r="B18" s="35"/>
      <c r="C18" s="3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0"/>
    </row>
    <row r="19" spans="2:15" x14ac:dyDescent="0.35">
      <c r="B19" s="37" t="str">
        <f>_xlfn.CONCAT("Diskonta faktors pie r=",C30)</f>
        <v>Diskonta faktors pie r=0.5</v>
      </c>
      <c r="C19" s="37"/>
      <c r="D19" s="8">
        <f>1/POWER(1+$C30,D2)</f>
        <v>1</v>
      </c>
      <c r="E19" s="8">
        <f>1/POWER(1+$C30,E2)</f>
        <v>0.66666666666666663</v>
      </c>
      <c r="F19" s="8">
        <f>1/POWER(1+$C30,F2)</f>
        <v>0.44444444444444442</v>
      </c>
      <c r="G19" s="8">
        <f>1/POWER(1+$C30,G2)</f>
        <v>0.29629629629629628</v>
      </c>
      <c r="H19" s="8">
        <f>1/POWER(1+$C30,H2)</f>
        <v>0.19753086419753085</v>
      </c>
      <c r="I19" s="8">
        <f>1/POWER(1+$C30,I2)</f>
        <v>0.13168724279835392</v>
      </c>
      <c r="J19" s="8"/>
      <c r="K19" s="8"/>
      <c r="L19" s="8"/>
      <c r="M19" s="8"/>
      <c r="N19" s="8"/>
      <c r="O19" s="10"/>
    </row>
    <row r="20" spans="2:15" x14ac:dyDescent="0.35">
      <c r="B20" s="37" t="s">
        <v>91</v>
      </c>
      <c r="C20" s="37"/>
      <c r="D20" s="5">
        <f>D9*D19</f>
        <v>17901.226857500002</v>
      </c>
      <c r="E20" s="5">
        <f t="shared" ref="E20:I20" si="5">E9*E19</f>
        <v>164756.25981333334</v>
      </c>
      <c r="F20" s="5">
        <f t="shared" si="5"/>
        <v>173486.31314666665</v>
      </c>
      <c r="G20" s="5">
        <f t="shared" si="5"/>
        <v>158090.07983407407</v>
      </c>
      <c r="H20" s="5">
        <f t="shared" si="5"/>
        <v>133681.74504691359</v>
      </c>
      <c r="I20" s="5">
        <f t="shared" si="5"/>
        <v>89121.163364609078</v>
      </c>
      <c r="J20" s="5"/>
      <c r="K20" s="5"/>
      <c r="L20" s="5"/>
      <c r="M20" s="5"/>
      <c r="N20" s="5"/>
      <c r="O20" s="10"/>
    </row>
    <row r="21" spans="2:15" x14ac:dyDescent="0.35">
      <c r="B21" s="37" t="s">
        <v>92</v>
      </c>
      <c r="C21" s="37"/>
      <c r="D21" s="5"/>
      <c r="E21" s="5"/>
      <c r="F21" s="5"/>
      <c r="G21" s="5"/>
      <c r="H21" s="5"/>
      <c r="I21" s="5">
        <f>SUM(D20:I20)</f>
        <v>737036.78806309681</v>
      </c>
      <c r="J21" s="5"/>
      <c r="K21" s="5"/>
      <c r="L21" s="5"/>
      <c r="M21" s="5"/>
      <c r="N21" s="5"/>
      <c r="O21" s="10"/>
    </row>
    <row r="22" spans="2:15" x14ac:dyDescent="0.35">
      <c r="B22" s="37" t="s">
        <v>93</v>
      </c>
      <c r="C22" s="37"/>
      <c r="D22" s="5"/>
      <c r="E22" s="5"/>
      <c r="F22" s="5"/>
      <c r="G22" s="5"/>
      <c r="H22" s="5"/>
      <c r="I22" s="5">
        <f>I21-D11</f>
        <v>140866.91926309676</v>
      </c>
      <c r="J22" s="5"/>
      <c r="K22" s="5"/>
      <c r="L22" s="5"/>
      <c r="M22" s="5"/>
      <c r="N22" s="5"/>
      <c r="O22" s="10"/>
    </row>
    <row r="24" spans="2:15" x14ac:dyDescent="0.35">
      <c r="B24" s="12" t="s">
        <v>94</v>
      </c>
      <c r="C24" s="9">
        <f>C29+(C30-C29) * (I17/(I17-I22))</f>
        <v>0.5996878845368353</v>
      </c>
      <c r="D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 x14ac:dyDescent="0.35">
      <c r="B25" s="12" t="s">
        <v>95</v>
      </c>
      <c r="C25" s="9">
        <f>C28/D11*100</f>
        <v>32.64659524499438</v>
      </c>
      <c r="D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2:15" x14ac:dyDescent="0.35">
      <c r="B26" s="12" t="s">
        <v>96</v>
      </c>
      <c r="C26" s="9">
        <f>I15/D11</f>
        <v>0.17710348560240421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2:15" x14ac:dyDescent="0.35">
      <c r="B27" s="12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2:15" x14ac:dyDescent="0.35">
      <c r="B28" s="12" t="s">
        <v>97</v>
      </c>
      <c r="C28" s="9">
        <f>(SUM(D10:I10) - D11) / 10</f>
        <v>194629.16403975006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2:15" x14ac:dyDescent="0.35">
      <c r="B29" s="10" t="s">
        <v>119</v>
      </c>
      <c r="C29" s="10">
        <v>0.45</v>
      </c>
    </row>
    <row r="30" spans="2:15" x14ac:dyDescent="0.35">
      <c r="B30" s="10" t="s">
        <v>120</v>
      </c>
      <c r="C30" s="10">
        <v>0.5</v>
      </c>
    </row>
  </sheetData>
  <mergeCells count="18">
    <mergeCell ref="B20:C20"/>
    <mergeCell ref="B21:C21"/>
    <mergeCell ref="B22:C22"/>
    <mergeCell ref="B14:C14"/>
    <mergeCell ref="B15:C15"/>
    <mergeCell ref="B16:C16"/>
    <mergeCell ref="B17:C17"/>
    <mergeCell ref="B18:C18"/>
    <mergeCell ref="B19:C19"/>
    <mergeCell ref="B13:C13"/>
    <mergeCell ref="B4:C4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F08D-E82B-417C-8E19-696890F39A1F}">
  <dimension ref="A1:N30"/>
  <sheetViews>
    <sheetView tabSelected="1" workbookViewId="0">
      <selection activeCell="L25" sqref="L25"/>
    </sheetView>
  </sheetViews>
  <sheetFormatPr defaultRowHeight="14.5" x14ac:dyDescent="0.35"/>
  <cols>
    <col min="2" max="2" width="35.26953125" customWidth="1"/>
    <col min="3" max="3" width="11.54296875" bestFit="1" customWidth="1"/>
    <col min="4" max="6" width="12.08984375" bestFit="1" customWidth="1"/>
    <col min="7" max="9" width="13" bestFit="1" customWidth="1"/>
    <col min="10" max="12" width="10.453125" bestFit="1" customWidth="1"/>
    <col min="13" max="13" width="10.81640625" bestFit="1" customWidth="1"/>
  </cols>
  <sheetData>
    <row r="1" spans="1:14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14" x14ac:dyDescent="0.35">
      <c r="A2" s="10"/>
      <c r="B2" s="10"/>
      <c r="C2" s="3" t="s">
        <v>83</v>
      </c>
      <c r="D2" s="10">
        <v>0</v>
      </c>
      <c r="E2" s="10">
        <v>1</v>
      </c>
      <c r="F2" s="10">
        <v>2</v>
      </c>
      <c r="G2" s="10">
        <v>3</v>
      </c>
      <c r="H2" s="10">
        <v>4</v>
      </c>
      <c r="I2" s="10">
        <v>5</v>
      </c>
      <c r="J2" s="10"/>
      <c r="K2" s="10"/>
      <c r="L2" s="10"/>
      <c r="M2" s="10"/>
      <c r="N2" s="10"/>
    </row>
    <row r="3" spans="1:14" x14ac:dyDescent="0.35">
      <c r="A3" s="10"/>
      <c r="B3" s="10"/>
      <c r="C3" s="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35">
      <c r="A4" s="10"/>
      <c r="B4" s="34" t="s">
        <v>84</v>
      </c>
      <c r="C4" s="34"/>
      <c r="D4" s="5"/>
      <c r="E4" s="5"/>
      <c r="F4" s="5"/>
      <c r="G4" s="5"/>
      <c r="H4" s="5"/>
      <c r="I4" s="5"/>
      <c r="J4" s="5"/>
      <c r="K4" s="5"/>
      <c r="L4" s="5"/>
      <c r="M4" s="5"/>
      <c r="N4" s="10"/>
    </row>
    <row r="5" spans="1:14" x14ac:dyDescent="0.35">
      <c r="A5" s="10"/>
      <c r="B5" s="15" t="s">
        <v>122</v>
      </c>
      <c r="C5" s="15"/>
      <c r="D5" s="5"/>
      <c r="E5" s="5"/>
      <c r="F5" s="5"/>
      <c r="G5" s="5"/>
      <c r="H5" s="5"/>
      <c r="I5" s="5"/>
      <c r="J5" s="5"/>
      <c r="K5" s="5"/>
      <c r="L5" s="5"/>
      <c r="M5" s="5"/>
      <c r="N5" s="10"/>
    </row>
    <row r="6" spans="1:14" x14ac:dyDescent="0.35">
      <c r="A6" s="10"/>
      <c r="B6" s="36" t="s">
        <v>248</v>
      </c>
      <c r="C6" s="36"/>
      <c r="D6" s="5">
        <f>'C ieguvumi'!B4</f>
        <v>17901.226857500002</v>
      </c>
      <c r="E6" s="5">
        <f>'C ieguvumi'!C4</f>
        <v>143209.81486000001</v>
      </c>
      <c r="F6" s="5">
        <f>'C ieguvumi'!D4</f>
        <v>286419.62972000003</v>
      </c>
      <c r="G6" s="5">
        <f>'C ieguvumi'!E4</f>
        <v>716049.07430000009</v>
      </c>
      <c r="H6" s="5">
        <f>'C ieguvumi'!F4</f>
        <v>716049.07430000009</v>
      </c>
      <c r="I6" s="5">
        <f>'C ieguvumi'!G4</f>
        <v>716049.07430000009</v>
      </c>
      <c r="J6" s="5"/>
      <c r="K6" s="5"/>
      <c r="L6" s="5"/>
      <c r="M6" s="5"/>
      <c r="N6" s="10"/>
    </row>
    <row r="7" spans="1:14" x14ac:dyDescent="0.35">
      <c r="A7" s="10"/>
      <c r="B7" s="36" t="s">
        <v>85</v>
      </c>
      <c r="C7" s="36"/>
      <c r="D7" s="5"/>
      <c r="E7" s="5">
        <f>'B izdevumi'!$M$15</f>
        <v>39285.239999999991</v>
      </c>
      <c r="F7" s="5">
        <f>'B izdevumi'!$M$15</f>
        <v>39285.239999999991</v>
      </c>
      <c r="G7" s="5">
        <f>'B izdevumi'!$M$15</f>
        <v>39285.239999999991</v>
      </c>
      <c r="H7" s="5">
        <f>'B izdevumi'!$M$15</f>
        <v>39285.239999999991</v>
      </c>
      <c r="I7" s="5">
        <f>'B izdevumi'!$M$15</f>
        <v>39285.239999999991</v>
      </c>
      <c r="J7" s="5"/>
      <c r="K7" s="5"/>
      <c r="L7" s="5"/>
      <c r="M7" s="5"/>
      <c r="N7" s="10"/>
    </row>
    <row r="8" spans="1:14" x14ac:dyDescent="0.35">
      <c r="A8" s="10"/>
      <c r="B8" s="36" t="s">
        <v>86</v>
      </c>
      <c r="C8" s="36"/>
      <c r="D8" s="5">
        <f>D6-D7</f>
        <v>17901.226857500002</v>
      </c>
      <c r="E8" s="5">
        <f t="shared" ref="E8:I8" si="0">E6-E7</f>
        <v>103924.57486000002</v>
      </c>
      <c r="F8" s="5">
        <f t="shared" si="0"/>
        <v>247134.38972000004</v>
      </c>
      <c r="G8" s="5">
        <f t="shared" si="0"/>
        <v>676763.8343000001</v>
      </c>
      <c r="H8" s="5">
        <f t="shared" si="0"/>
        <v>676763.8343000001</v>
      </c>
      <c r="I8" s="5">
        <f t="shared" si="0"/>
        <v>676763.8343000001</v>
      </c>
      <c r="J8" s="5"/>
      <c r="K8" s="5"/>
      <c r="L8" s="5"/>
      <c r="M8" s="5"/>
      <c r="N8" s="10"/>
    </row>
    <row r="9" spans="1:14" x14ac:dyDescent="0.35">
      <c r="A9" s="10"/>
      <c r="B9" s="37" t="s">
        <v>87</v>
      </c>
      <c r="C9" s="37"/>
      <c r="D9" s="6">
        <f>D8-0</f>
        <v>17901.226857500002</v>
      </c>
      <c r="E9" s="6">
        <f t="shared" ref="E9:I9" si="1">E8-0</f>
        <v>103924.57486000002</v>
      </c>
      <c r="F9" s="6">
        <f t="shared" si="1"/>
        <v>247134.38972000004</v>
      </c>
      <c r="G9" s="6">
        <f t="shared" si="1"/>
        <v>676763.8343000001</v>
      </c>
      <c r="H9" s="6">
        <f t="shared" si="1"/>
        <v>676763.8343000001</v>
      </c>
      <c r="I9" s="6">
        <f t="shared" si="1"/>
        <v>676763.8343000001</v>
      </c>
      <c r="J9" s="5"/>
      <c r="K9" s="5"/>
      <c r="L9" s="5"/>
      <c r="M9" s="5"/>
      <c r="N9" s="10"/>
    </row>
    <row r="10" spans="1:14" x14ac:dyDescent="0.35">
      <c r="A10" s="10"/>
      <c r="B10" s="37" t="s">
        <v>88</v>
      </c>
      <c r="C10" s="37"/>
      <c r="D10" s="5">
        <f>D9</f>
        <v>17901.226857500002</v>
      </c>
      <c r="E10" s="5">
        <f t="shared" ref="E10:I10" si="2">E9</f>
        <v>103924.57486000002</v>
      </c>
      <c r="F10" s="5">
        <f t="shared" si="2"/>
        <v>247134.38972000004</v>
      </c>
      <c r="G10" s="5">
        <f t="shared" si="2"/>
        <v>676763.8343000001</v>
      </c>
      <c r="H10" s="5">
        <f t="shared" si="2"/>
        <v>676763.8343000001</v>
      </c>
      <c r="I10" s="5">
        <f t="shared" si="2"/>
        <v>676763.8343000001</v>
      </c>
      <c r="J10" s="6"/>
      <c r="K10" s="6"/>
      <c r="L10" s="6"/>
      <c r="M10" s="6"/>
      <c r="N10" s="10"/>
    </row>
    <row r="11" spans="1:14" x14ac:dyDescent="0.35">
      <c r="A11" s="10"/>
      <c r="B11" s="37" t="s">
        <v>89</v>
      </c>
      <c r="C11" s="37"/>
      <c r="D11" s="6">
        <f>'B izmaksas'!E56</f>
        <v>596169.86880000005</v>
      </c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x14ac:dyDescent="0.35">
      <c r="A12" s="10"/>
      <c r="B12" s="37" t="s">
        <v>90</v>
      </c>
      <c r="C12" s="37"/>
      <c r="D12" s="6">
        <f>D10-D11</f>
        <v>-578268.64194250002</v>
      </c>
      <c r="E12" s="6">
        <f>E10+D12</f>
        <v>-474344.06708249997</v>
      </c>
      <c r="F12" s="6">
        <f t="shared" ref="F12:I12" si="3">F10+E12</f>
        <v>-227209.67736249993</v>
      </c>
      <c r="G12" s="6">
        <f t="shared" si="3"/>
        <v>449554.15693750017</v>
      </c>
      <c r="H12" s="6">
        <f t="shared" si="3"/>
        <v>1126317.9912375002</v>
      </c>
      <c r="I12" s="6">
        <f t="shared" si="3"/>
        <v>1803081.8255375004</v>
      </c>
      <c r="J12" s="5"/>
      <c r="K12" s="5"/>
      <c r="L12" s="5"/>
      <c r="M12" s="5"/>
      <c r="N12" s="10"/>
    </row>
    <row r="13" spans="1:14" x14ac:dyDescent="0.35">
      <c r="A13" s="10"/>
      <c r="B13" s="35"/>
      <c r="C13" s="35"/>
      <c r="D13" s="5"/>
      <c r="E13" s="5"/>
      <c r="F13" s="5"/>
      <c r="G13" s="5"/>
      <c r="H13" s="5"/>
      <c r="I13" s="5"/>
      <c r="J13" s="6"/>
      <c r="K13" s="6"/>
      <c r="L13" s="6"/>
      <c r="M13" s="6"/>
      <c r="N13" s="10"/>
    </row>
    <row r="14" spans="1:14" x14ac:dyDescent="0.35">
      <c r="A14" s="10"/>
      <c r="B14" s="37" t="str">
        <f>_xlfn.CONCAT("Diskonta faktors pie r=",C29)</f>
        <v>Diskonta faktors pie r=0.45</v>
      </c>
      <c r="C14" s="37"/>
      <c r="D14" s="7">
        <f>1/POWER((1+$C29),D2)</f>
        <v>1</v>
      </c>
      <c r="E14" s="7">
        <f>1/POWER((1+$C29),E2)</f>
        <v>0.68965517241379315</v>
      </c>
      <c r="F14" s="7">
        <f>1/POWER((1+$C29),F2)</f>
        <v>0.47562425683709869</v>
      </c>
      <c r="G14" s="7">
        <f>1/POWER((1+$C29),G2)</f>
        <v>0.32801672885317151</v>
      </c>
      <c r="H14" s="7">
        <f>1/POWER((1+$C29),H2)</f>
        <v>0.22621843369184244</v>
      </c>
      <c r="I14" s="7">
        <f>1/POWER((1+$C29),I2)</f>
        <v>0.15601271289092583</v>
      </c>
      <c r="J14" s="5"/>
      <c r="K14" s="5"/>
      <c r="L14" s="5"/>
      <c r="M14" s="5"/>
      <c r="N14" s="10"/>
    </row>
    <row r="15" spans="1:14" x14ac:dyDescent="0.35">
      <c r="A15" s="10"/>
      <c r="B15" s="37" t="s">
        <v>91</v>
      </c>
      <c r="C15" s="37"/>
      <c r="D15" s="5">
        <f>D9*D14</f>
        <v>17901.226857500002</v>
      </c>
      <c r="E15" s="5">
        <f t="shared" ref="E15:I15" si="4">E9*E14</f>
        <v>71672.120593103464</v>
      </c>
      <c r="F15" s="5">
        <f t="shared" si="4"/>
        <v>117543.11044946493</v>
      </c>
      <c r="G15" s="5">
        <f t="shared" si="4"/>
        <v>221989.85913321582</v>
      </c>
      <c r="H15" s="5">
        <f t="shared" si="4"/>
        <v>153096.45457463161</v>
      </c>
      <c r="I15" s="5">
        <f t="shared" si="4"/>
        <v>105583.76177560801</v>
      </c>
      <c r="J15" s="7"/>
      <c r="K15" s="7"/>
      <c r="L15" s="7"/>
      <c r="M15" s="7"/>
      <c r="N15" s="10"/>
    </row>
    <row r="16" spans="1:14" x14ac:dyDescent="0.35">
      <c r="A16" s="10"/>
      <c r="B16" s="37" t="s">
        <v>92</v>
      </c>
      <c r="C16" s="37"/>
      <c r="D16" s="5"/>
      <c r="E16" s="5"/>
      <c r="F16" s="5"/>
      <c r="G16" s="5"/>
      <c r="H16" s="5"/>
      <c r="I16" s="5">
        <f>SUM(D15:I15)</f>
        <v>687786.53338352393</v>
      </c>
      <c r="J16" s="5"/>
      <c r="K16" s="5"/>
      <c r="L16" s="5"/>
      <c r="M16" s="5"/>
      <c r="N16" s="10"/>
    </row>
    <row r="17" spans="1:14" x14ac:dyDescent="0.35">
      <c r="A17" s="10"/>
      <c r="B17" s="37" t="s">
        <v>93</v>
      </c>
      <c r="C17" s="37"/>
      <c r="D17" s="5"/>
      <c r="E17" s="5"/>
      <c r="F17" s="5"/>
      <c r="G17" s="5"/>
      <c r="H17" s="5"/>
      <c r="I17" s="5">
        <f>I16-D11</f>
        <v>91616.664583523874</v>
      </c>
      <c r="J17" s="5"/>
      <c r="K17" s="5"/>
      <c r="L17" s="5"/>
      <c r="M17" s="5"/>
      <c r="N17" s="10"/>
    </row>
    <row r="18" spans="1:14" x14ac:dyDescent="0.35">
      <c r="A18" s="10"/>
      <c r="B18" s="35"/>
      <c r="C18" s="35"/>
      <c r="D18" s="5"/>
      <c r="E18" s="5"/>
      <c r="F18" s="5"/>
      <c r="G18" s="5"/>
      <c r="H18" s="5"/>
      <c r="I18" s="5"/>
      <c r="J18" s="5"/>
      <c r="K18" s="5"/>
      <c r="L18" s="5"/>
      <c r="M18" s="5"/>
      <c r="N18" s="10"/>
    </row>
    <row r="19" spans="1:14" x14ac:dyDescent="0.35">
      <c r="A19" s="10"/>
      <c r="B19" s="37" t="str">
        <f>_xlfn.CONCAT("Diskonta faktors pie r=",C30)</f>
        <v>Diskonta faktors pie r=0.5</v>
      </c>
      <c r="C19" s="37"/>
      <c r="D19" s="8">
        <f>1/POWER(1+$C30,D2)</f>
        <v>1</v>
      </c>
      <c r="E19" s="8">
        <f>1/POWER(1+$C30,E2)</f>
        <v>0.66666666666666663</v>
      </c>
      <c r="F19" s="8">
        <f>1/POWER(1+$C30,F2)</f>
        <v>0.44444444444444442</v>
      </c>
      <c r="G19" s="8">
        <f>1/POWER(1+$C30,G2)</f>
        <v>0.29629629629629628</v>
      </c>
      <c r="H19" s="8">
        <f>1/POWER(1+$C30,H2)</f>
        <v>0.19753086419753085</v>
      </c>
      <c r="I19" s="8">
        <f>1/POWER(1+$C30,I2)</f>
        <v>0.13168724279835392</v>
      </c>
      <c r="J19" s="5"/>
      <c r="K19" s="5"/>
      <c r="L19" s="5"/>
      <c r="M19" s="5"/>
      <c r="N19" s="10"/>
    </row>
    <row r="20" spans="1:14" x14ac:dyDescent="0.35">
      <c r="A20" s="10"/>
      <c r="B20" s="37" t="s">
        <v>91</v>
      </c>
      <c r="C20" s="37"/>
      <c r="D20" s="5">
        <f>D9*D19</f>
        <v>17901.226857500002</v>
      </c>
      <c r="E20" s="5">
        <f t="shared" ref="E20:I20" si="5">E9*E19</f>
        <v>69283.049906666682</v>
      </c>
      <c r="F20" s="5">
        <f t="shared" si="5"/>
        <v>109837.50654222223</v>
      </c>
      <c r="G20" s="5">
        <f t="shared" si="5"/>
        <v>200522.61757037038</v>
      </c>
      <c r="H20" s="5">
        <f t="shared" si="5"/>
        <v>133681.74504691359</v>
      </c>
      <c r="I20" s="5">
        <f t="shared" si="5"/>
        <v>89121.163364609078</v>
      </c>
      <c r="J20" s="7"/>
      <c r="K20" s="7"/>
      <c r="L20" s="7"/>
      <c r="M20" s="7"/>
      <c r="N20" s="10"/>
    </row>
    <row r="21" spans="1:14" x14ac:dyDescent="0.35">
      <c r="A21" s="10"/>
      <c r="B21" s="37" t="s">
        <v>92</v>
      </c>
      <c r="C21" s="37"/>
      <c r="D21" s="5"/>
      <c r="E21" s="5"/>
      <c r="F21" s="5"/>
      <c r="G21" s="5"/>
      <c r="H21" s="5"/>
      <c r="I21" s="5">
        <f>SUM(D20:I20)</f>
        <v>620347.30928828206</v>
      </c>
      <c r="J21" s="5"/>
      <c r="K21" s="5"/>
      <c r="L21" s="5"/>
      <c r="M21" s="5"/>
      <c r="N21" s="10"/>
    </row>
    <row r="22" spans="1:14" x14ac:dyDescent="0.35">
      <c r="A22" s="10"/>
      <c r="B22" s="37" t="s">
        <v>93</v>
      </c>
      <c r="C22" s="37"/>
      <c r="D22" s="5"/>
      <c r="E22" s="5"/>
      <c r="F22" s="5"/>
      <c r="G22" s="5"/>
      <c r="H22" s="5"/>
      <c r="I22" s="5">
        <f>I21-D11</f>
        <v>24177.440488282009</v>
      </c>
      <c r="J22" s="5"/>
      <c r="K22" s="5"/>
      <c r="L22" s="5"/>
      <c r="M22" s="5"/>
      <c r="N22" s="10"/>
    </row>
    <row r="23" spans="1:14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5"/>
      <c r="K23" s="5"/>
      <c r="L23" s="5"/>
      <c r="M23" s="5"/>
      <c r="N23" s="10"/>
    </row>
    <row r="24" spans="1:14" x14ac:dyDescent="0.35">
      <c r="A24" s="10"/>
      <c r="B24" s="12" t="s">
        <v>94</v>
      </c>
      <c r="C24" s="9">
        <f>C29+(C30-C29) * (I17/(I17-I22))</f>
        <v>0.51792535487518143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35">
      <c r="A25" s="10"/>
      <c r="B25" s="12" t="s">
        <v>95</v>
      </c>
      <c r="C25" s="9">
        <f>C28/D11*100</f>
        <v>30.244430654753344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35">
      <c r="A26" s="10"/>
      <c r="B26" s="12" t="s">
        <v>96</v>
      </c>
      <c r="C26" s="9">
        <f>I15/D11</f>
        <v>0.17710348560240421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35">
      <c r="A27" s="10"/>
      <c r="B27" s="12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35">
      <c r="A28" s="10"/>
      <c r="B28" s="12" t="s">
        <v>97</v>
      </c>
      <c r="C28" s="9">
        <f>(SUM(D10:I10) - D11) / 10</f>
        <v>180308.18255375003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35">
      <c r="A29" s="10"/>
      <c r="B29" s="10" t="s">
        <v>119</v>
      </c>
      <c r="C29" s="10">
        <v>0.45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5">
      <c r="A30" s="10"/>
      <c r="B30" s="10" t="s">
        <v>120</v>
      </c>
      <c r="C30" s="10">
        <v>0.5</v>
      </c>
      <c r="D30" s="10"/>
      <c r="E30" s="10"/>
      <c r="F30" s="10"/>
      <c r="G30" s="10"/>
      <c r="H30" s="10"/>
      <c r="I30" s="10"/>
    </row>
  </sheetData>
  <mergeCells count="18">
    <mergeCell ref="B22:C22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4:C4"/>
    <mergeCell ref="B6:C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DD20-ADE3-42E8-8221-F0FFA28F5164}">
  <dimension ref="A1:L23"/>
  <sheetViews>
    <sheetView workbookViewId="0">
      <selection activeCell="C5" sqref="C5"/>
    </sheetView>
  </sheetViews>
  <sheetFormatPr defaultRowHeight="14.5" x14ac:dyDescent="0.35"/>
  <cols>
    <col min="2" max="2" width="19.7265625" customWidth="1"/>
  </cols>
  <sheetData>
    <row r="1" spans="1:12" x14ac:dyDescent="0.35">
      <c r="A1" s="12"/>
      <c r="B1" s="12" t="s">
        <v>98</v>
      </c>
      <c r="C1" s="34">
        <v>1</v>
      </c>
      <c r="D1" s="34"/>
      <c r="E1" s="34">
        <v>2</v>
      </c>
      <c r="F1" s="34"/>
      <c r="G1" s="34">
        <v>3</v>
      </c>
      <c r="H1" s="34"/>
      <c r="I1" s="34">
        <v>4</v>
      </c>
      <c r="J1" s="34"/>
      <c r="K1" s="34">
        <v>5</v>
      </c>
      <c r="L1" s="34"/>
    </row>
    <row r="2" spans="1:12" x14ac:dyDescent="0.35">
      <c r="A2" s="12" t="s">
        <v>99</v>
      </c>
      <c r="B2" s="12" t="s">
        <v>100</v>
      </c>
      <c r="C2" s="12" t="s">
        <v>101</v>
      </c>
      <c r="D2" s="12" t="s">
        <v>102</v>
      </c>
      <c r="E2" s="12" t="s">
        <v>101</v>
      </c>
      <c r="F2" s="12" t="s">
        <v>102</v>
      </c>
      <c r="G2" s="12" t="s">
        <v>101</v>
      </c>
      <c r="H2" s="12" t="s">
        <v>102</v>
      </c>
      <c r="I2" s="12" t="s">
        <v>101</v>
      </c>
      <c r="J2" s="12" t="s">
        <v>102</v>
      </c>
      <c r="K2" s="12" t="s">
        <v>101</v>
      </c>
      <c r="L2" s="12" t="s">
        <v>102</v>
      </c>
    </row>
    <row r="3" spans="1:12" ht="33" customHeight="1" x14ac:dyDescent="0.35">
      <c r="A3" s="38" t="s">
        <v>103</v>
      </c>
      <c r="B3" s="38"/>
      <c r="C3" s="10"/>
      <c r="D3" s="10" t="s">
        <v>104</v>
      </c>
      <c r="E3" s="10"/>
      <c r="F3" s="10"/>
      <c r="G3" s="10"/>
      <c r="H3" s="10"/>
      <c r="I3" s="10"/>
      <c r="J3" s="10"/>
      <c r="K3" s="10" t="s">
        <v>104</v>
      </c>
      <c r="L3" s="10"/>
    </row>
    <row r="4" spans="1:12" ht="30" customHeight="1" x14ac:dyDescent="0.35">
      <c r="A4" s="38" t="s">
        <v>105</v>
      </c>
      <c r="B4" s="38"/>
      <c r="C4" s="10"/>
      <c r="D4" s="10"/>
      <c r="E4" s="10"/>
      <c r="F4" s="10"/>
      <c r="G4" s="10"/>
      <c r="H4" s="10" t="s">
        <v>104</v>
      </c>
      <c r="I4" s="10"/>
      <c r="J4" s="10"/>
      <c r="K4" s="10" t="s">
        <v>104</v>
      </c>
      <c r="L4" s="10"/>
    </row>
    <row r="5" spans="1:12" ht="29.15" customHeight="1" x14ac:dyDescent="0.35">
      <c r="A5" s="38" t="s">
        <v>106</v>
      </c>
      <c r="B5" s="38"/>
      <c r="C5" s="10"/>
      <c r="D5" s="10"/>
      <c r="E5" s="10"/>
      <c r="F5" s="10"/>
      <c r="G5" s="10"/>
      <c r="H5" s="10"/>
      <c r="I5" s="10"/>
      <c r="J5" s="10"/>
      <c r="K5" s="10" t="s">
        <v>104</v>
      </c>
      <c r="L5" s="10" t="s">
        <v>104</v>
      </c>
    </row>
    <row r="6" spans="1:12" ht="30" customHeight="1" x14ac:dyDescent="0.35">
      <c r="A6" s="39" t="s">
        <v>107</v>
      </c>
      <c r="B6" s="39"/>
      <c r="C6" s="10"/>
      <c r="D6" s="10"/>
      <c r="E6" s="10"/>
      <c r="F6" s="10"/>
      <c r="G6" s="10" t="s">
        <v>104</v>
      </c>
      <c r="H6" s="10" t="s">
        <v>104</v>
      </c>
      <c r="I6" s="10"/>
      <c r="J6" s="10"/>
      <c r="K6" s="10"/>
      <c r="L6" s="10"/>
    </row>
    <row r="7" spans="1:12" ht="30" customHeight="1" x14ac:dyDescent="0.35">
      <c r="A7" s="39" t="s">
        <v>108</v>
      </c>
      <c r="B7" s="39"/>
      <c r="C7" s="10"/>
      <c r="D7" s="10"/>
      <c r="E7" s="10"/>
      <c r="F7" s="10"/>
      <c r="G7" s="10" t="s">
        <v>104</v>
      </c>
      <c r="H7" s="10" t="s">
        <v>104</v>
      </c>
      <c r="I7" s="10"/>
      <c r="J7" s="10"/>
      <c r="K7" s="10"/>
      <c r="L7" s="10"/>
    </row>
    <row r="8" spans="1:12" ht="30" customHeight="1" x14ac:dyDescent="0.35">
      <c r="A8" s="39" t="s">
        <v>109</v>
      </c>
      <c r="B8" s="39"/>
      <c r="C8" s="10"/>
      <c r="D8" s="10"/>
      <c r="E8" s="10"/>
      <c r="F8" s="10"/>
      <c r="G8" s="10" t="s">
        <v>104</v>
      </c>
      <c r="H8" s="10"/>
      <c r="I8" s="10"/>
      <c r="J8" s="10" t="s">
        <v>104</v>
      </c>
      <c r="K8" s="10"/>
      <c r="L8" s="10"/>
    </row>
    <row r="9" spans="1:12" ht="30" customHeight="1" x14ac:dyDescent="0.35">
      <c r="A9" s="39" t="s">
        <v>110</v>
      </c>
      <c r="B9" s="39"/>
      <c r="C9" s="10"/>
      <c r="D9" s="10"/>
      <c r="E9" s="10"/>
      <c r="F9" s="10"/>
      <c r="G9" s="10" t="s">
        <v>104</v>
      </c>
      <c r="H9" s="10"/>
      <c r="I9" s="10"/>
      <c r="J9" s="10"/>
      <c r="K9" s="10" t="s">
        <v>104</v>
      </c>
      <c r="L9" s="10"/>
    </row>
    <row r="10" spans="1:12" x14ac:dyDescent="0.35">
      <c r="A10" s="40" t="s">
        <v>57</v>
      </c>
      <c r="B10" s="40"/>
      <c r="C10" s="10"/>
      <c r="D10" s="10">
        <v>1</v>
      </c>
      <c r="E10" s="10"/>
      <c r="F10" s="10"/>
      <c r="G10" s="10">
        <v>12</v>
      </c>
      <c r="H10" s="10">
        <v>9</v>
      </c>
      <c r="I10" s="10"/>
      <c r="J10" s="10">
        <v>4</v>
      </c>
      <c r="K10" s="10">
        <v>20</v>
      </c>
      <c r="L10" s="10">
        <v>5</v>
      </c>
    </row>
    <row r="11" spans="1:12" x14ac:dyDescent="0.35">
      <c r="A11" s="40" t="s">
        <v>111</v>
      </c>
      <c r="B11" s="40"/>
      <c r="C11" s="12" t="s">
        <v>112</v>
      </c>
      <c r="D11" s="12">
        <v>32</v>
      </c>
      <c r="E11" s="10"/>
      <c r="F11" s="10"/>
      <c r="G11" s="10"/>
      <c r="H11" s="10"/>
      <c r="I11" s="10"/>
      <c r="J11" s="10"/>
      <c r="K11" s="10"/>
      <c r="L11" s="10"/>
    </row>
    <row r="12" spans="1:12" x14ac:dyDescent="0.35">
      <c r="A12" s="41"/>
      <c r="B12" s="41"/>
      <c r="C12" s="12" t="s">
        <v>113</v>
      </c>
      <c r="D12" s="12">
        <v>19</v>
      </c>
      <c r="E12" s="10"/>
      <c r="F12" s="10"/>
      <c r="G12" s="10"/>
      <c r="H12" s="10"/>
      <c r="I12" s="10"/>
      <c r="J12" s="10"/>
      <c r="K12" s="10"/>
      <c r="L12" s="10"/>
    </row>
    <row r="13" spans="1:12" x14ac:dyDescent="0.35">
      <c r="A13" s="35"/>
      <c r="B13" s="35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35">
      <c r="A14" s="35"/>
      <c r="B14" s="35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5">
      <c r="A15" s="35"/>
      <c r="B15" s="35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35">
      <c r="A16" s="35"/>
      <c r="B16" s="35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2" x14ac:dyDescent="0.35">
      <c r="A17" s="35"/>
      <c r="B17" s="35"/>
    </row>
    <row r="18" spans="1:2" x14ac:dyDescent="0.35">
      <c r="A18" s="35"/>
      <c r="B18" s="35"/>
    </row>
    <row r="19" spans="1:2" x14ac:dyDescent="0.35">
      <c r="A19" s="35"/>
      <c r="B19" s="35"/>
    </row>
    <row r="20" spans="1:2" x14ac:dyDescent="0.35">
      <c r="A20" s="35"/>
      <c r="B20" s="35"/>
    </row>
    <row r="21" spans="1:2" x14ac:dyDescent="0.35">
      <c r="A21" s="35"/>
      <c r="B21" s="35"/>
    </row>
    <row r="22" spans="1:2" x14ac:dyDescent="0.35">
      <c r="A22" s="35"/>
      <c r="B22" s="35"/>
    </row>
    <row r="23" spans="1:2" x14ac:dyDescent="0.35">
      <c r="A23" s="35"/>
      <c r="B23" s="35"/>
    </row>
  </sheetData>
  <mergeCells count="26">
    <mergeCell ref="G1:H1"/>
    <mergeCell ref="I1:J1"/>
    <mergeCell ref="K1:L1"/>
    <mergeCell ref="A15:B1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3:B3"/>
    <mergeCell ref="C1:D1"/>
    <mergeCell ref="E1:F1"/>
    <mergeCell ref="A22:B22"/>
    <mergeCell ref="A23:B23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8960-06D3-44A2-9508-3D37F529B548}">
  <dimension ref="A1:K35"/>
  <sheetViews>
    <sheetView workbookViewId="0">
      <selection activeCell="S37" sqref="S37"/>
    </sheetView>
  </sheetViews>
  <sheetFormatPr defaultRowHeight="14.5" x14ac:dyDescent="0.35"/>
  <cols>
    <col min="1" max="1" width="24.26953125" bestFit="1" customWidth="1"/>
    <col min="2" max="2" width="23.54296875" bestFit="1" customWidth="1"/>
    <col min="3" max="3" width="9.54296875" bestFit="1" customWidth="1"/>
    <col min="4" max="4" width="9.26953125" bestFit="1" customWidth="1"/>
    <col min="5" max="5" width="9.54296875" bestFit="1" customWidth="1"/>
    <col min="6" max="6" width="9.26953125" bestFit="1" customWidth="1"/>
    <col min="7" max="7" width="9.54296875" bestFit="1" customWidth="1"/>
    <col min="8" max="8" width="9.26953125" bestFit="1" customWidth="1"/>
    <col min="9" max="9" width="9.54296875" bestFit="1" customWidth="1"/>
    <col min="10" max="10" width="9.26953125" bestFit="1" customWidth="1"/>
    <col min="11" max="11" width="9.54296875" bestFit="1" customWidth="1"/>
  </cols>
  <sheetData>
    <row r="1" spans="1:11" x14ac:dyDescent="0.35">
      <c r="A1" s="4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5">
      <c r="A2" s="32" t="s">
        <v>45</v>
      </c>
      <c r="B2" s="32" t="s">
        <v>46</v>
      </c>
      <c r="C2" s="34" t="s">
        <v>47</v>
      </c>
      <c r="D2" s="34"/>
      <c r="E2" s="34" t="s">
        <v>48</v>
      </c>
      <c r="F2" s="34"/>
      <c r="G2" s="34" t="s">
        <v>49</v>
      </c>
      <c r="H2" s="34"/>
      <c r="I2" s="34" t="s">
        <v>50</v>
      </c>
      <c r="J2" s="34"/>
      <c r="K2" s="33" t="s">
        <v>51</v>
      </c>
    </row>
    <row r="3" spans="1:11" x14ac:dyDescent="0.35">
      <c r="A3" s="32"/>
      <c r="B3" s="32"/>
      <c r="C3" s="12" t="s">
        <v>52</v>
      </c>
      <c r="D3" s="12" t="s">
        <v>53</v>
      </c>
      <c r="E3" s="12" t="s">
        <v>52</v>
      </c>
      <c r="F3" s="12" t="s">
        <v>53</v>
      </c>
      <c r="G3" s="12" t="s">
        <v>52</v>
      </c>
      <c r="H3" s="12" t="s">
        <v>53</v>
      </c>
      <c r="I3" s="12" t="s">
        <v>52</v>
      </c>
      <c r="J3" s="12" t="s">
        <v>53</v>
      </c>
      <c r="K3" s="33"/>
    </row>
    <row r="4" spans="1:11" x14ac:dyDescent="0.35">
      <c r="A4" s="11" t="s">
        <v>116</v>
      </c>
      <c r="B4" s="10">
        <v>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f t="shared" ref="H4:H5" si="0">G4*B$6</f>
        <v>0</v>
      </c>
      <c r="I4" s="10">
        <f>30*20*2</f>
        <v>1200</v>
      </c>
      <c r="J4" s="10">
        <f>I4*B4</f>
        <v>1200</v>
      </c>
      <c r="K4" s="10">
        <f>D4+F4+H4+J4</f>
        <v>1200</v>
      </c>
    </row>
    <row r="5" spans="1:11" x14ac:dyDescent="0.35">
      <c r="A5" s="11" t="s">
        <v>117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f t="shared" si="0"/>
        <v>0</v>
      </c>
      <c r="I5" s="10">
        <f>30*20*2</f>
        <v>1200</v>
      </c>
      <c r="J5" s="10">
        <f t="shared" ref="J5" si="1">I5*B5</f>
        <v>1200</v>
      </c>
      <c r="K5" s="10">
        <f t="shared" ref="K5" si="2">D5+F5+H5+J5</f>
        <v>1200</v>
      </c>
    </row>
    <row r="6" spans="1:11" s="10" customFormat="1" x14ac:dyDescent="0.35">
      <c r="A6" s="14" t="s">
        <v>54</v>
      </c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f t="shared" ref="H6" si="3">G6*B$6</f>
        <v>0</v>
      </c>
      <c r="I6" s="10">
        <f>30*20*2</f>
        <v>1200</v>
      </c>
      <c r="J6" s="10">
        <f t="shared" ref="J6" si="4">I6*B6</f>
        <v>1200</v>
      </c>
      <c r="K6" s="10">
        <f t="shared" ref="K6" si="5">D6+F6+H6+J6</f>
        <v>1200</v>
      </c>
    </row>
    <row r="7" spans="1:11" s="10" customFormat="1" ht="13.5" customHeight="1" x14ac:dyDescent="0.35">
      <c r="A7" s="14" t="s">
        <v>55</v>
      </c>
      <c r="B7" s="10">
        <v>1</v>
      </c>
      <c r="C7" s="10">
        <v>0</v>
      </c>
      <c r="D7" s="10">
        <v>0</v>
      </c>
      <c r="E7" s="10">
        <v>0</v>
      </c>
      <c r="F7" s="10">
        <v>0</v>
      </c>
      <c r="G7" s="10">
        <v>30</v>
      </c>
      <c r="H7" s="10">
        <f>G7*B$6</f>
        <v>30</v>
      </c>
      <c r="I7" s="10">
        <v>0</v>
      </c>
      <c r="J7" s="10">
        <f t="shared" ref="J7" si="6">I7*B7</f>
        <v>0</v>
      </c>
      <c r="K7" s="10">
        <f t="shared" ref="K7" si="7">D7+F7+H7+J7</f>
        <v>30</v>
      </c>
    </row>
    <row r="8" spans="1:11" x14ac:dyDescent="0.35">
      <c r="A8" s="10"/>
      <c r="B8" s="10"/>
      <c r="C8" s="10"/>
      <c r="D8" s="10"/>
      <c r="E8" s="10"/>
      <c r="F8" s="10"/>
      <c r="G8" s="10"/>
      <c r="H8" s="10"/>
      <c r="I8" s="10"/>
      <c r="J8" s="12" t="s">
        <v>57</v>
      </c>
      <c r="K8" s="12">
        <f>SUM(K4:K7)</f>
        <v>3630</v>
      </c>
    </row>
    <row r="10" spans="1:11" x14ac:dyDescent="0.35">
      <c r="A10" s="4" t="s">
        <v>58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35">
      <c r="A11" s="32" t="s">
        <v>45</v>
      </c>
      <c r="B11" s="32" t="s">
        <v>46</v>
      </c>
      <c r="C11" s="34" t="s">
        <v>47</v>
      </c>
      <c r="D11" s="34"/>
      <c r="E11" s="34" t="s">
        <v>48</v>
      </c>
      <c r="F11" s="34"/>
      <c r="G11" s="34" t="s">
        <v>49</v>
      </c>
      <c r="H11" s="34"/>
      <c r="I11" s="34" t="s">
        <v>50</v>
      </c>
      <c r="J11" s="34"/>
      <c r="K11" s="33" t="s">
        <v>51</v>
      </c>
    </row>
    <row r="12" spans="1:11" ht="14.5" customHeight="1" x14ac:dyDescent="0.35">
      <c r="A12" s="32"/>
      <c r="B12" s="32"/>
      <c r="C12" s="12" t="s">
        <v>52</v>
      </c>
      <c r="D12" s="12" t="s">
        <v>53</v>
      </c>
      <c r="E12" s="12" t="s">
        <v>52</v>
      </c>
      <c r="F12" s="12" t="s">
        <v>53</v>
      </c>
      <c r="G12" s="12" t="s">
        <v>52</v>
      </c>
      <c r="H12" s="12" t="s">
        <v>53</v>
      </c>
      <c r="I12" s="12" t="s">
        <v>52</v>
      </c>
      <c r="J12" s="12" t="s">
        <v>53</v>
      </c>
      <c r="K12" s="33"/>
    </row>
    <row r="13" spans="1:11" x14ac:dyDescent="0.35">
      <c r="A13" s="14" t="s">
        <v>116</v>
      </c>
      <c r="B13" s="10">
        <v>1</v>
      </c>
      <c r="C13" s="10">
        <v>0</v>
      </c>
      <c r="D13" s="10"/>
      <c r="E13" s="10">
        <v>0</v>
      </c>
      <c r="F13" s="10"/>
      <c r="G13" s="10">
        <f>20*90*8</f>
        <v>14400</v>
      </c>
      <c r="H13" s="10">
        <f t="shared" ref="H13:H15" si="8">B13*G13</f>
        <v>14400</v>
      </c>
      <c r="I13" s="10">
        <v>0</v>
      </c>
      <c r="J13" s="10"/>
      <c r="K13" s="10">
        <f>D13+F13+H13+J13</f>
        <v>14400</v>
      </c>
    </row>
    <row r="14" spans="1:11" x14ac:dyDescent="0.35">
      <c r="A14" s="14" t="s">
        <v>117</v>
      </c>
      <c r="B14" s="10">
        <v>1</v>
      </c>
      <c r="C14" s="10">
        <v>0</v>
      </c>
      <c r="D14" s="10"/>
      <c r="E14" s="10">
        <v>0</v>
      </c>
      <c r="F14" s="10"/>
      <c r="G14" s="10">
        <f>20*90*10</f>
        <v>18000</v>
      </c>
      <c r="H14" s="10">
        <f t="shared" si="8"/>
        <v>18000</v>
      </c>
      <c r="I14" s="10">
        <v>0</v>
      </c>
      <c r="J14" s="10"/>
      <c r="K14" s="10">
        <f t="shared" ref="K14:K16" si="9">D14+F14+H14+J14</f>
        <v>18000</v>
      </c>
    </row>
    <row r="15" spans="1:11" x14ac:dyDescent="0.35">
      <c r="A15" s="14" t="s">
        <v>54</v>
      </c>
      <c r="B15" s="10">
        <v>1</v>
      </c>
      <c r="C15" s="10">
        <v>0</v>
      </c>
      <c r="D15" s="10"/>
      <c r="E15" s="10">
        <v>0</v>
      </c>
      <c r="F15" s="10"/>
      <c r="G15" s="10">
        <f>20*50*6</f>
        <v>6000</v>
      </c>
      <c r="H15" s="10">
        <f t="shared" si="8"/>
        <v>6000</v>
      </c>
      <c r="I15" s="10">
        <v>0</v>
      </c>
      <c r="J15" s="10"/>
      <c r="K15" s="10">
        <f t="shared" si="9"/>
        <v>6000</v>
      </c>
    </row>
    <row r="16" spans="1:11" x14ac:dyDescent="0.35">
      <c r="A16" s="14" t="s">
        <v>55</v>
      </c>
      <c r="B16" s="10">
        <v>1</v>
      </c>
      <c r="C16" s="10">
        <v>30</v>
      </c>
      <c r="D16" s="10">
        <f>C16*$B16</f>
        <v>30</v>
      </c>
      <c r="E16" s="10">
        <v>30</v>
      </c>
      <c r="F16" s="10">
        <f>E16*$B16</f>
        <v>30</v>
      </c>
      <c r="G16" s="10">
        <v>30</v>
      </c>
      <c r="H16" s="10">
        <f>G16*$B16</f>
        <v>30</v>
      </c>
      <c r="I16" s="10">
        <v>30</v>
      </c>
      <c r="J16" s="10">
        <f t="shared" ref="J16" si="10">I16*B16</f>
        <v>30</v>
      </c>
      <c r="K16" s="10">
        <f t="shared" si="9"/>
        <v>120</v>
      </c>
    </row>
    <row r="17" spans="1:11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2" t="s">
        <v>57</v>
      </c>
      <c r="K17" s="12">
        <f>SUM(K13:K16)</f>
        <v>38520</v>
      </c>
    </row>
    <row r="19" spans="1:11" x14ac:dyDescent="0.35">
      <c r="A19" s="4" t="s">
        <v>59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35">
      <c r="A20" s="32" t="s">
        <v>45</v>
      </c>
      <c r="B20" s="32" t="s">
        <v>46</v>
      </c>
      <c r="C20" s="34" t="s">
        <v>47</v>
      </c>
      <c r="D20" s="34"/>
      <c r="E20" s="34" t="s">
        <v>48</v>
      </c>
      <c r="F20" s="34"/>
      <c r="G20" s="34" t="s">
        <v>49</v>
      </c>
      <c r="H20" s="34"/>
      <c r="I20" s="34" t="s">
        <v>50</v>
      </c>
      <c r="J20" s="34"/>
      <c r="K20" s="33" t="s">
        <v>51</v>
      </c>
    </row>
    <row r="21" spans="1:11" ht="14.5" customHeight="1" x14ac:dyDescent="0.35">
      <c r="A21" s="32"/>
      <c r="B21" s="32"/>
      <c r="C21" s="12" t="s">
        <v>52</v>
      </c>
      <c r="D21" s="12" t="s">
        <v>53</v>
      </c>
      <c r="E21" s="12" t="s">
        <v>52</v>
      </c>
      <c r="F21" s="12" t="s">
        <v>53</v>
      </c>
      <c r="G21" s="12" t="s">
        <v>52</v>
      </c>
      <c r="H21" s="12" t="s">
        <v>53</v>
      </c>
      <c r="I21" s="12" t="s">
        <v>52</v>
      </c>
      <c r="J21" s="12" t="s">
        <v>53</v>
      </c>
      <c r="K21" s="33"/>
    </row>
    <row r="22" spans="1:11" x14ac:dyDescent="0.35">
      <c r="A22" s="14" t="s">
        <v>116</v>
      </c>
      <c r="B22" s="10">
        <v>1</v>
      </c>
      <c r="C22" s="10">
        <v>0</v>
      </c>
      <c r="D22" s="10"/>
      <c r="E22" s="10">
        <v>0</v>
      </c>
      <c r="F22" s="10"/>
      <c r="G22" s="10">
        <f>20*200*8</f>
        <v>32000</v>
      </c>
      <c r="H22" s="10">
        <f t="shared" ref="H22:H24" si="11">B22*G22</f>
        <v>32000</v>
      </c>
      <c r="I22" s="10">
        <v>0</v>
      </c>
      <c r="J22" s="10"/>
      <c r="K22" s="10">
        <f>D22+F22+H22+J22</f>
        <v>32000</v>
      </c>
    </row>
    <row r="23" spans="1:11" x14ac:dyDescent="0.35">
      <c r="A23" s="14" t="s">
        <v>117</v>
      </c>
      <c r="B23" s="10">
        <v>1</v>
      </c>
      <c r="C23" s="10">
        <v>0</v>
      </c>
      <c r="D23" s="10"/>
      <c r="E23" s="10">
        <v>0</v>
      </c>
      <c r="F23" s="10"/>
      <c r="G23" s="10">
        <f>20*200*10</f>
        <v>40000</v>
      </c>
      <c r="H23" s="10">
        <f t="shared" si="11"/>
        <v>40000</v>
      </c>
      <c r="I23" s="10">
        <v>0</v>
      </c>
      <c r="J23" s="10"/>
      <c r="K23" s="10">
        <f t="shared" ref="K23:K25" si="12">D23+F23+H23+J23</f>
        <v>40000</v>
      </c>
    </row>
    <row r="24" spans="1:11" x14ac:dyDescent="0.35">
      <c r="A24" s="14" t="s">
        <v>54</v>
      </c>
      <c r="B24" s="10">
        <v>1</v>
      </c>
      <c r="C24" s="10">
        <v>0</v>
      </c>
      <c r="D24" s="10"/>
      <c r="E24" s="10">
        <v>0</v>
      </c>
      <c r="F24" s="10"/>
      <c r="G24" s="10">
        <f>20*100*6</f>
        <v>12000</v>
      </c>
      <c r="H24" s="10">
        <f t="shared" si="11"/>
        <v>12000</v>
      </c>
      <c r="I24" s="10">
        <v>0</v>
      </c>
      <c r="J24" s="10"/>
      <c r="K24" s="10">
        <f t="shared" si="12"/>
        <v>12000</v>
      </c>
    </row>
    <row r="25" spans="1:11" x14ac:dyDescent="0.35">
      <c r="A25" s="14" t="s">
        <v>55</v>
      </c>
      <c r="B25" s="10">
        <v>1</v>
      </c>
      <c r="C25" s="10">
        <v>30</v>
      </c>
      <c r="D25" s="10">
        <f>C25*$B25</f>
        <v>30</v>
      </c>
      <c r="E25" s="10">
        <v>30</v>
      </c>
      <c r="F25" s="10">
        <f>E25*$B25</f>
        <v>30</v>
      </c>
      <c r="G25" s="10">
        <v>30</v>
      </c>
      <c r="H25" s="10">
        <f>G25*$B25</f>
        <v>30</v>
      </c>
      <c r="I25" s="10">
        <v>30</v>
      </c>
      <c r="J25" s="10">
        <f>I25*B25</f>
        <v>30</v>
      </c>
      <c r="K25" s="10">
        <f t="shared" si="12"/>
        <v>120</v>
      </c>
    </row>
    <row r="26" spans="1:11" x14ac:dyDescent="0.35">
      <c r="A26" s="10"/>
      <c r="B26" s="10"/>
      <c r="C26" s="10"/>
      <c r="D26" s="10"/>
      <c r="E26" s="10"/>
      <c r="F26" s="10"/>
      <c r="G26" s="10"/>
      <c r="H26" s="10"/>
      <c r="I26" s="10"/>
      <c r="J26" s="12" t="s">
        <v>57</v>
      </c>
      <c r="K26" s="12">
        <f>SUM(K22:K25)</f>
        <v>84120</v>
      </c>
    </row>
    <row r="28" spans="1:11" x14ac:dyDescent="0.35">
      <c r="A28" s="4" t="s">
        <v>115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35">
      <c r="A29" s="32" t="s">
        <v>45</v>
      </c>
      <c r="B29" s="32" t="s">
        <v>46</v>
      </c>
      <c r="C29" s="34" t="s">
        <v>47</v>
      </c>
      <c r="D29" s="34"/>
      <c r="E29" s="34" t="s">
        <v>48</v>
      </c>
      <c r="F29" s="34"/>
      <c r="G29" s="34" t="s">
        <v>49</v>
      </c>
      <c r="H29" s="34"/>
      <c r="I29" s="34" t="s">
        <v>50</v>
      </c>
      <c r="J29" s="34"/>
      <c r="K29" s="33" t="s">
        <v>51</v>
      </c>
    </row>
    <row r="30" spans="1:11" ht="14.5" customHeight="1" x14ac:dyDescent="0.35">
      <c r="A30" s="32"/>
      <c r="B30" s="32"/>
      <c r="C30" s="12" t="s">
        <v>52</v>
      </c>
      <c r="D30" s="12" t="s">
        <v>53</v>
      </c>
      <c r="E30" s="12" t="s">
        <v>52</v>
      </c>
      <c r="F30" s="12" t="s">
        <v>53</v>
      </c>
      <c r="G30" s="12" t="s">
        <v>52</v>
      </c>
      <c r="H30" s="12" t="s">
        <v>53</v>
      </c>
      <c r="I30" s="12" t="s">
        <v>52</v>
      </c>
      <c r="J30" s="12" t="s">
        <v>53</v>
      </c>
      <c r="K30" s="33"/>
    </row>
    <row r="31" spans="1:11" x14ac:dyDescent="0.35">
      <c r="A31" s="14" t="s">
        <v>116</v>
      </c>
      <c r="B31" s="10">
        <v>1</v>
      </c>
      <c r="C31" s="10">
        <v>0</v>
      </c>
      <c r="D31" s="10"/>
      <c r="E31" s="10">
        <v>0</v>
      </c>
      <c r="F31" s="10"/>
      <c r="G31" s="10">
        <f>20*300*10</f>
        <v>60000</v>
      </c>
      <c r="H31" s="10">
        <f t="shared" ref="H31:H33" si="13">B31*G31</f>
        <v>60000</v>
      </c>
      <c r="I31" s="10">
        <v>0</v>
      </c>
      <c r="J31" s="10"/>
      <c r="K31" s="10">
        <f>D31+F31+H31+J31</f>
        <v>60000</v>
      </c>
    </row>
    <row r="32" spans="1:11" x14ac:dyDescent="0.35">
      <c r="A32" s="14" t="s">
        <v>117</v>
      </c>
      <c r="B32" s="10">
        <v>1</v>
      </c>
      <c r="C32" s="10">
        <v>0</v>
      </c>
      <c r="D32" s="10"/>
      <c r="E32" s="10">
        <v>0</v>
      </c>
      <c r="F32" s="10"/>
      <c r="G32" s="10">
        <f>20*300*10</f>
        <v>60000</v>
      </c>
      <c r="H32" s="10">
        <f t="shared" si="13"/>
        <v>60000</v>
      </c>
      <c r="I32" s="10">
        <v>0</v>
      </c>
      <c r="J32" s="10"/>
      <c r="K32" s="10">
        <f t="shared" ref="K32:K34" si="14">D32+F32+H32+J32</f>
        <v>60000</v>
      </c>
    </row>
    <row r="33" spans="1:11" x14ac:dyDescent="0.35">
      <c r="A33" s="14" t="s">
        <v>54</v>
      </c>
      <c r="B33" s="10">
        <v>1</v>
      </c>
      <c r="C33" s="10">
        <v>0</v>
      </c>
      <c r="D33" s="10"/>
      <c r="E33" s="10">
        <v>0</v>
      </c>
      <c r="F33" s="10"/>
      <c r="G33" s="10">
        <f>20*150*10</f>
        <v>30000</v>
      </c>
      <c r="H33" s="10">
        <f t="shared" si="13"/>
        <v>30000</v>
      </c>
      <c r="I33" s="10">
        <v>0</v>
      </c>
      <c r="J33" s="10"/>
      <c r="K33" s="10">
        <f t="shared" si="14"/>
        <v>30000</v>
      </c>
    </row>
    <row r="34" spans="1:11" x14ac:dyDescent="0.35">
      <c r="A34" s="14" t="s">
        <v>55</v>
      </c>
      <c r="B34" s="10">
        <v>1</v>
      </c>
      <c r="C34" s="10">
        <v>30</v>
      </c>
      <c r="D34" s="10">
        <f>B34*C34</f>
        <v>30</v>
      </c>
      <c r="E34" s="10">
        <v>30</v>
      </c>
      <c r="F34" s="10">
        <f>B34*E34</f>
        <v>30</v>
      </c>
      <c r="G34" s="10">
        <v>30</v>
      </c>
      <c r="H34" s="10">
        <f>B34*G34</f>
        <v>30</v>
      </c>
      <c r="I34" s="10">
        <v>30</v>
      </c>
      <c r="J34" s="10">
        <f>I34*B34</f>
        <v>30</v>
      </c>
      <c r="K34" s="10">
        <f t="shared" si="14"/>
        <v>120</v>
      </c>
    </row>
    <row r="35" spans="1:11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2" t="s">
        <v>57</v>
      </c>
      <c r="K35" s="12">
        <f>SUM(K31:K34)</f>
        <v>150120</v>
      </c>
    </row>
  </sheetData>
  <mergeCells count="28">
    <mergeCell ref="K2:K3"/>
    <mergeCell ref="A2:A3"/>
    <mergeCell ref="B2:B3"/>
    <mergeCell ref="C2:D2"/>
    <mergeCell ref="E2:F2"/>
    <mergeCell ref="G2:H2"/>
    <mergeCell ref="I2:J2"/>
    <mergeCell ref="G20:H20"/>
    <mergeCell ref="I20:J20"/>
    <mergeCell ref="K20:K21"/>
    <mergeCell ref="A29:A30"/>
    <mergeCell ref="B29:B30"/>
    <mergeCell ref="C29:D29"/>
    <mergeCell ref="E29:F29"/>
    <mergeCell ref="G29:H29"/>
    <mergeCell ref="I29:J29"/>
    <mergeCell ref="K29:K30"/>
    <mergeCell ref="A20:A21"/>
    <mergeCell ref="B20:B21"/>
    <mergeCell ref="C20:D20"/>
    <mergeCell ref="E20:F20"/>
    <mergeCell ref="B11:B12"/>
    <mergeCell ref="A11:A12"/>
    <mergeCell ref="K11:K12"/>
    <mergeCell ref="I11:J11"/>
    <mergeCell ref="G11:H11"/>
    <mergeCell ref="E11:F11"/>
    <mergeCell ref="C11:D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8C71-B7D6-4AB1-AA32-E7DB0757ECAB}">
  <dimension ref="A2:L12"/>
  <sheetViews>
    <sheetView workbookViewId="0">
      <selection activeCell="D32" sqref="D32"/>
    </sheetView>
  </sheetViews>
  <sheetFormatPr defaultRowHeight="14.5" x14ac:dyDescent="0.35"/>
  <cols>
    <col min="1" max="1" width="18.1796875" bestFit="1" customWidth="1"/>
    <col min="2" max="2" width="23.54296875" bestFit="1" customWidth="1"/>
    <col min="3" max="3" width="9.54296875" bestFit="1" customWidth="1"/>
    <col min="4" max="4" width="9.26953125" bestFit="1" customWidth="1"/>
    <col min="5" max="5" width="9.54296875" bestFit="1" customWidth="1"/>
    <col min="6" max="6" width="9.26953125" bestFit="1" customWidth="1"/>
    <col min="7" max="7" width="9.54296875" bestFit="1" customWidth="1"/>
    <col min="8" max="8" width="9.26953125" bestFit="1" customWidth="1"/>
    <col min="9" max="9" width="9.54296875" bestFit="1" customWidth="1"/>
    <col min="10" max="10" width="9.26953125" bestFit="1" customWidth="1"/>
    <col min="11" max="11" width="9.54296875" bestFit="1" customWidth="1"/>
  </cols>
  <sheetData>
    <row r="2" spans="1:12" x14ac:dyDescent="0.35">
      <c r="A2" s="33" t="s">
        <v>45</v>
      </c>
      <c r="B2" s="33" t="s">
        <v>46</v>
      </c>
      <c r="C2" s="34" t="s">
        <v>47</v>
      </c>
      <c r="D2" s="34"/>
      <c r="E2" s="34" t="s">
        <v>48</v>
      </c>
      <c r="F2" s="34"/>
      <c r="G2" s="34" t="s">
        <v>49</v>
      </c>
      <c r="H2" s="34"/>
      <c r="I2" s="34" t="s">
        <v>50</v>
      </c>
      <c r="J2" s="34"/>
      <c r="K2" s="33" t="s">
        <v>51</v>
      </c>
      <c r="L2" s="1"/>
    </row>
    <row r="3" spans="1:12" x14ac:dyDescent="0.35">
      <c r="A3" s="33"/>
      <c r="B3" s="33"/>
      <c r="C3" s="12" t="s">
        <v>52</v>
      </c>
      <c r="D3" s="12" t="s">
        <v>53</v>
      </c>
      <c r="E3" s="12" t="s">
        <v>52</v>
      </c>
      <c r="F3" s="12" t="s">
        <v>53</v>
      </c>
      <c r="G3" s="12" t="s">
        <v>52</v>
      </c>
      <c r="H3" s="12" t="s">
        <v>53</v>
      </c>
      <c r="I3" s="12" t="s">
        <v>52</v>
      </c>
      <c r="J3" s="12" t="s">
        <v>53</v>
      </c>
      <c r="K3" s="33"/>
      <c r="L3" s="1"/>
    </row>
    <row r="4" spans="1:12" x14ac:dyDescent="0.35">
      <c r="A4" s="11" t="s">
        <v>56</v>
      </c>
      <c r="B4" s="10">
        <v>50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30</v>
      </c>
      <c r="J4" s="10">
        <f t="shared" ref="J4" si="0">I4*B4</f>
        <v>1500</v>
      </c>
      <c r="K4" s="10">
        <f t="shared" ref="K4" si="1">D4+F4+H4+J4</f>
        <v>1500</v>
      </c>
      <c r="L4" s="10"/>
    </row>
    <row r="5" spans="1:12" x14ac:dyDescent="0.35">
      <c r="A5" s="10"/>
      <c r="B5" s="10"/>
      <c r="C5" s="10"/>
      <c r="D5" s="10"/>
      <c r="E5" s="10"/>
      <c r="F5" s="10"/>
      <c r="G5" s="10"/>
      <c r="H5" s="10"/>
      <c r="I5" s="10"/>
      <c r="J5" s="10" t="s">
        <v>57</v>
      </c>
      <c r="K5" s="10">
        <f>SUM(K1:K4)</f>
        <v>1500</v>
      </c>
      <c r="L5" s="10"/>
    </row>
    <row r="8" spans="1:12" x14ac:dyDescent="0.35">
      <c r="A8" s="12" t="s">
        <v>60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5">
      <c r="A9" s="33" t="s">
        <v>45</v>
      </c>
      <c r="B9" s="33" t="s">
        <v>46</v>
      </c>
      <c r="C9" s="34" t="s">
        <v>47</v>
      </c>
      <c r="D9" s="34"/>
      <c r="E9" s="34" t="s">
        <v>48</v>
      </c>
      <c r="F9" s="34"/>
      <c r="G9" s="34" t="s">
        <v>49</v>
      </c>
      <c r="H9" s="34"/>
      <c r="I9" s="34" t="s">
        <v>50</v>
      </c>
      <c r="J9" s="34"/>
      <c r="K9" s="33" t="s">
        <v>51</v>
      </c>
      <c r="L9" s="10"/>
    </row>
    <row r="10" spans="1:12" x14ac:dyDescent="0.35">
      <c r="A10" s="33"/>
      <c r="B10" s="33"/>
      <c r="C10" s="12" t="s">
        <v>52</v>
      </c>
      <c r="D10" s="12" t="s">
        <v>53</v>
      </c>
      <c r="E10" s="12" t="s">
        <v>52</v>
      </c>
      <c r="F10" s="12" t="s">
        <v>53</v>
      </c>
      <c r="G10" s="12" t="s">
        <v>52</v>
      </c>
      <c r="H10" s="12" t="s">
        <v>53</v>
      </c>
      <c r="I10" s="12" t="s">
        <v>52</v>
      </c>
      <c r="J10" s="12" t="s">
        <v>53</v>
      </c>
      <c r="K10" s="33"/>
      <c r="L10" s="10"/>
    </row>
    <row r="11" spans="1:12" x14ac:dyDescent="0.35">
      <c r="A11" s="11" t="s">
        <v>56</v>
      </c>
      <c r="B11" s="10">
        <v>50</v>
      </c>
      <c r="C11" s="10">
        <v>200</v>
      </c>
      <c r="D11" s="10">
        <f>B11*C11</f>
        <v>10000</v>
      </c>
      <c r="E11" s="10">
        <v>200</v>
      </c>
      <c r="F11" s="10">
        <f>B11*E11</f>
        <v>10000</v>
      </c>
      <c r="G11" s="10">
        <v>200</v>
      </c>
      <c r="H11" s="10">
        <f>B11*G11</f>
        <v>10000</v>
      </c>
      <c r="I11" s="10">
        <v>200</v>
      </c>
      <c r="J11" s="10">
        <f>I11*B11</f>
        <v>10000</v>
      </c>
      <c r="K11" s="10">
        <f t="shared" ref="K11" si="2">D11+F11+H11+J11</f>
        <v>40000</v>
      </c>
      <c r="L11" s="10"/>
    </row>
    <row r="12" spans="1:12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 t="s">
        <v>57</v>
      </c>
      <c r="K12" s="10">
        <f>SUM(K8:K11)</f>
        <v>40000</v>
      </c>
      <c r="L12" s="10"/>
    </row>
  </sheetData>
  <mergeCells count="14">
    <mergeCell ref="K9:K10"/>
    <mergeCell ref="A9:A10"/>
    <mergeCell ref="B9:B10"/>
    <mergeCell ref="C9:D9"/>
    <mergeCell ref="E9:F9"/>
    <mergeCell ref="G9:H9"/>
    <mergeCell ref="I9:J9"/>
    <mergeCell ref="I2:J2"/>
    <mergeCell ref="K2:K3"/>
    <mergeCell ref="A2:A3"/>
    <mergeCell ref="B2:B3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 darbu saraksts</vt:lpstr>
      <vt:lpstr>C darbu saraksts</vt:lpstr>
      <vt:lpstr>B izmaksas</vt:lpstr>
      <vt:lpstr>C izmaksas</vt:lpstr>
      <vt:lpstr>B ieguvumi</vt:lpstr>
      <vt:lpstr>C ieguvumi</vt:lpstr>
      <vt:lpstr>B izdevumi</vt:lpstr>
      <vt:lpstr>C izdevumi</vt:lpstr>
      <vt:lpstr>B vertejums</vt:lpstr>
      <vt:lpstr>C vertejums</vt:lpstr>
      <vt:lpstr>B vai C Izvērtējums </vt:lpstr>
      <vt:lpstr>B ienemumi - deleted</vt:lpstr>
      <vt:lpstr>C ienemumi - deleted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2019-05-16T12:50:51Z</dcterms:modified>
  <cp:category/>
  <cp:contentStatus/>
</cp:coreProperties>
</file>