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Projects\ESP_UWB\ESP_UWB_calib\"/>
    </mc:Choice>
  </mc:AlternateContent>
  <xr:revisionPtr revIDLastSave="0" documentId="13_ncr:1_{09FD9B03-2C6E-4919-ABB1-4445FF0B3679}" xr6:coauthVersionLast="47" xr6:coauthVersionMax="47" xr10:uidLastSave="{00000000-0000-0000-0000-000000000000}"/>
  <bookViews>
    <workbookView xWindow="1740" yWindow="750" windowWidth="22305" windowHeight="19155" activeTab="1" xr2:uid="{C8ED39F9-F74F-4B75-95D3-877036CB2EC8}"/>
  </bookViews>
  <sheets>
    <sheet name="averages" sheetId="2" r:id="rId1"/>
    <sheet name="again" sheetId="3" r:id="rId2"/>
    <sheet name="Sheet2" sheetId="4" r:id="rId3"/>
  </sheets>
  <definedNames>
    <definedName name="ExternalData_1" localSheetId="0" hidden="1">averages!$E$6:$I$11</definedName>
    <definedName name="ExternalData_2" localSheetId="0" hidden="1">averages!$E$14:$I$19</definedName>
    <definedName name="ExternalData_3" localSheetId="0" hidden="1">averages!$E$22:$I$27</definedName>
    <definedName name="ExternalData_4" localSheetId="0" hidden="1">averages!$E$30:$I$35</definedName>
    <definedName name="ExternalData_5" localSheetId="0" hidden="1">averages!$E$38:$I$43</definedName>
    <definedName name="ExternalData_6" localSheetId="0" hidden="1">averages!$E$46:$I$51</definedName>
    <definedName name="ExternalData_7" localSheetId="0" hidden="1">averages!$E$54:$I$59</definedName>
    <definedName name="ExternalData_8" localSheetId="0" hidden="1">averages!$E$62:$I$67</definedName>
    <definedName name="ExternalData_9" localSheetId="0" hidden="1">averages!$E$70:$I$75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3" l="1"/>
  <c r="K3" i="3"/>
  <c r="N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P3" i="3" l="1"/>
  <c r="N7" i="3" l="1"/>
  <c r="P7" i="3" s="1"/>
  <c r="Q7" i="3" s="1"/>
  <c r="R7" i="3" s="1"/>
  <c r="O7" i="3"/>
  <c r="N16" i="3"/>
  <c r="P16" i="3" s="1"/>
  <c r="Q16" i="3" s="1"/>
  <c r="R16" i="3" s="1"/>
  <c r="O16" i="3"/>
  <c r="N25" i="3"/>
  <c r="P25" i="3" s="1"/>
  <c r="Q25" i="3" s="1"/>
  <c r="R25" i="3" s="1"/>
  <c r="O25" i="3"/>
  <c r="N34" i="3"/>
  <c r="P34" i="3" s="1"/>
  <c r="Q34" i="3" s="1"/>
  <c r="R34" i="3" s="1"/>
  <c r="O34" i="3"/>
  <c r="N43" i="3"/>
  <c r="P43" i="3" s="1"/>
  <c r="Q43" i="3" s="1"/>
  <c r="R43" i="3" s="1"/>
  <c r="O43" i="3"/>
  <c r="N8" i="3"/>
  <c r="P8" i="3" s="1"/>
  <c r="Q8" i="3" s="1"/>
  <c r="R8" i="3" s="1"/>
  <c r="O8" i="3"/>
  <c r="N17" i="3"/>
  <c r="P17" i="3" s="1"/>
  <c r="Q17" i="3" s="1"/>
  <c r="R17" i="3" s="1"/>
  <c r="O17" i="3"/>
  <c r="N26" i="3"/>
  <c r="P26" i="3" s="1"/>
  <c r="Q26" i="3" s="1"/>
  <c r="R26" i="3" s="1"/>
  <c r="O26" i="3"/>
  <c r="N35" i="3"/>
  <c r="P35" i="3" s="1"/>
  <c r="Q35" i="3" s="1"/>
  <c r="R35" i="3" s="1"/>
  <c r="O35" i="3"/>
  <c r="N44" i="3"/>
  <c r="P44" i="3" s="1"/>
  <c r="Q44" i="3" s="1"/>
  <c r="R44" i="3" s="1"/>
  <c r="O44" i="3"/>
  <c r="N9" i="3"/>
  <c r="P9" i="3" s="1"/>
  <c r="Q9" i="3" s="1"/>
  <c r="R9" i="3" s="1"/>
  <c r="O9" i="3"/>
  <c r="N18" i="3"/>
  <c r="P18" i="3" s="1"/>
  <c r="Q18" i="3" s="1"/>
  <c r="R18" i="3" s="1"/>
  <c r="O18" i="3"/>
  <c r="N27" i="3"/>
  <c r="P27" i="3" s="1"/>
  <c r="Q27" i="3" s="1"/>
  <c r="R27" i="3" s="1"/>
  <c r="O27" i="3"/>
  <c r="N36" i="3"/>
  <c r="P36" i="3" s="1"/>
  <c r="Q36" i="3" s="1"/>
  <c r="R36" i="3" s="1"/>
  <c r="O36" i="3"/>
  <c r="N45" i="3"/>
  <c r="P45" i="3" s="1"/>
  <c r="Q45" i="3" s="1"/>
  <c r="R45" i="3" s="1"/>
  <c r="O45" i="3"/>
  <c r="N10" i="3"/>
  <c r="P10" i="3" s="1"/>
  <c r="Q10" i="3" s="1"/>
  <c r="R10" i="3" s="1"/>
  <c r="O10" i="3"/>
  <c r="N19" i="3"/>
  <c r="P19" i="3" s="1"/>
  <c r="Q19" i="3" s="1"/>
  <c r="R19" i="3" s="1"/>
  <c r="O19" i="3"/>
  <c r="N28" i="3"/>
  <c r="P28" i="3" s="1"/>
  <c r="Q28" i="3" s="1"/>
  <c r="R28" i="3" s="1"/>
  <c r="O28" i="3"/>
  <c r="N37" i="3"/>
  <c r="P37" i="3" s="1"/>
  <c r="Q37" i="3" s="1"/>
  <c r="R37" i="3" s="1"/>
  <c r="O37" i="3"/>
  <c r="N46" i="3"/>
  <c r="P46" i="3" s="1"/>
  <c r="Q46" i="3" s="1"/>
  <c r="R46" i="3" s="1"/>
  <c r="O46" i="3"/>
  <c r="N11" i="3"/>
  <c r="P11" i="3" s="1"/>
  <c r="Q11" i="3" s="1"/>
  <c r="R11" i="3" s="1"/>
  <c r="O11" i="3"/>
  <c r="N20" i="3"/>
  <c r="P20" i="3" s="1"/>
  <c r="Q20" i="3" s="1"/>
  <c r="R20" i="3" s="1"/>
  <c r="O20" i="3"/>
  <c r="N29" i="3"/>
  <c r="P29" i="3" s="1"/>
  <c r="Q29" i="3" s="1"/>
  <c r="R29" i="3" s="1"/>
  <c r="O29" i="3"/>
  <c r="N38" i="3"/>
  <c r="P38" i="3" s="1"/>
  <c r="Q38" i="3" s="1"/>
  <c r="R38" i="3" s="1"/>
  <c r="O38" i="3"/>
  <c r="N47" i="3"/>
  <c r="P47" i="3" s="1"/>
  <c r="Q47" i="3" s="1"/>
  <c r="R47" i="3" s="1"/>
  <c r="O47" i="3"/>
  <c r="N12" i="3"/>
  <c r="P12" i="3" s="1"/>
  <c r="Q12" i="3" s="1"/>
  <c r="R12" i="3" s="1"/>
  <c r="O12" i="3"/>
  <c r="N21" i="3"/>
  <c r="P21" i="3" s="1"/>
  <c r="Q21" i="3" s="1"/>
  <c r="R21" i="3" s="1"/>
  <c r="O21" i="3"/>
  <c r="N30" i="3"/>
  <c r="P30" i="3" s="1"/>
  <c r="Q30" i="3" s="1"/>
  <c r="R30" i="3" s="1"/>
  <c r="O30" i="3"/>
  <c r="N39" i="3"/>
  <c r="P39" i="3" s="1"/>
  <c r="Q39" i="3" s="1"/>
  <c r="R39" i="3" s="1"/>
  <c r="O39" i="3"/>
  <c r="N48" i="3"/>
  <c r="P48" i="3" s="1"/>
  <c r="Q48" i="3" s="1"/>
  <c r="R48" i="3" s="1"/>
  <c r="O48" i="3"/>
  <c r="N13" i="3"/>
  <c r="P13" i="3" s="1"/>
  <c r="Q13" i="3" s="1"/>
  <c r="R13" i="3" s="1"/>
  <c r="O13" i="3"/>
  <c r="N22" i="3"/>
  <c r="P22" i="3" s="1"/>
  <c r="Q22" i="3" s="1"/>
  <c r="R22" i="3" s="1"/>
  <c r="O22" i="3"/>
  <c r="N31" i="3"/>
  <c r="P31" i="3" s="1"/>
  <c r="Q31" i="3" s="1"/>
  <c r="R31" i="3" s="1"/>
  <c r="O31" i="3"/>
  <c r="N40" i="3"/>
  <c r="P40" i="3" s="1"/>
  <c r="Q40" i="3" s="1"/>
  <c r="R40" i="3" s="1"/>
  <c r="O40" i="3"/>
  <c r="N49" i="3"/>
  <c r="P49" i="3" s="1"/>
  <c r="Q49" i="3" s="1"/>
  <c r="R49" i="3" s="1"/>
  <c r="O49" i="3"/>
  <c r="N6" i="3"/>
  <c r="P6" i="3" s="1"/>
  <c r="Q6" i="3" s="1"/>
  <c r="R6" i="3" s="1"/>
  <c r="O6" i="3"/>
  <c r="N15" i="3"/>
  <c r="P15" i="3" s="1"/>
  <c r="Q15" i="3" s="1"/>
  <c r="R15" i="3" s="1"/>
  <c r="O15" i="3"/>
  <c r="N24" i="3"/>
  <c r="P24" i="3" s="1"/>
  <c r="Q24" i="3" s="1"/>
  <c r="R24" i="3" s="1"/>
  <c r="O24" i="3"/>
  <c r="N33" i="3"/>
  <c r="P33" i="3" s="1"/>
  <c r="Q33" i="3" s="1"/>
  <c r="R33" i="3" s="1"/>
  <c r="O33" i="3"/>
  <c r="N42" i="3"/>
  <c r="P42" i="3" s="1"/>
  <c r="Q42" i="3" s="1"/>
  <c r="R42" i="3" s="1"/>
  <c r="O42" i="3"/>
  <c r="O14" i="3"/>
  <c r="O23" i="3"/>
  <c r="O32" i="3"/>
  <c r="O41" i="3"/>
  <c r="O5" i="3"/>
  <c r="N5" i="3"/>
  <c r="P5" i="3" s="1"/>
  <c r="Q5" i="3" s="1"/>
  <c r="R5" i="3" s="1"/>
  <c r="N14" i="3"/>
  <c r="P14" i="3" s="1"/>
  <c r="Q14" i="3" s="1"/>
  <c r="R14" i="3" s="1"/>
  <c r="N23" i="3"/>
  <c r="P23" i="3" s="1"/>
  <c r="Q23" i="3" s="1"/>
  <c r="R23" i="3" s="1"/>
  <c r="N32" i="3"/>
  <c r="P32" i="3" s="1"/>
  <c r="Q32" i="3" s="1"/>
  <c r="R32" i="3" s="1"/>
  <c r="N41" i="3"/>
  <c r="P41" i="3" s="1"/>
  <c r="Q41" i="3" s="1"/>
  <c r="R41" i="3" s="1"/>
  <c r="M71" i="2"/>
  <c r="M72" i="2"/>
  <c r="M73" i="2"/>
  <c r="M74" i="2"/>
  <c r="M75" i="2"/>
  <c r="M63" i="2"/>
  <c r="M64" i="2"/>
  <c r="M65" i="2"/>
  <c r="M66" i="2"/>
  <c r="M67" i="2"/>
  <c r="M55" i="2"/>
  <c r="M56" i="2"/>
  <c r="M57" i="2"/>
  <c r="M58" i="2"/>
  <c r="M59" i="2"/>
  <c r="M47" i="2"/>
  <c r="M48" i="2"/>
  <c r="M49" i="2"/>
  <c r="M50" i="2"/>
  <c r="M51" i="2"/>
  <c r="M39" i="2"/>
  <c r="M40" i="2"/>
  <c r="M41" i="2"/>
  <c r="M42" i="2"/>
  <c r="M43" i="2"/>
  <c r="M31" i="2"/>
  <c r="M32" i="2"/>
  <c r="M33" i="2"/>
  <c r="M34" i="2"/>
  <c r="M35" i="2"/>
  <c r="M23" i="2"/>
  <c r="M24" i="2"/>
  <c r="M25" i="2"/>
  <c r="M26" i="2"/>
  <c r="M27" i="2"/>
  <c r="M7" i="2"/>
  <c r="L71" i="2"/>
  <c r="L72" i="2"/>
  <c r="L73" i="2"/>
  <c r="L74" i="2"/>
  <c r="L75" i="2"/>
  <c r="L63" i="2"/>
  <c r="L64" i="2"/>
  <c r="L65" i="2"/>
  <c r="L66" i="2"/>
  <c r="L67" i="2"/>
  <c r="L55" i="2"/>
  <c r="L56" i="2"/>
  <c r="L57" i="2"/>
  <c r="L58" i="2"/>
  <c r="L59" i="2"/>
  <c r="L47" i="2"/>
  <c r="L48" i="2"/>
  <c r="L49" i="2"/>
  <c r="L50" i="2"/>
  <c r="L51" i="2"/>
  <c r="L39" i="2"/>
  <c r="L40" i="2"/>
  <c r="L41" i="2"/>
  <c r="L42" i="2"/>
  <c r="L43" i="2"/>
  <c r="L31" i="2"/>
  <c r="L32" i="2"/>
  <c r="L33" i="2"/>
  <c r="L34" i="2"/>
  <c r="L35" i="2"/>
  <c r="L23" i="2"/>
  <c r="L24" i="2"/>
  <c r="L25" i="2"/>
  <c r="L26" i="2"/>
  <c r="L27" i="2"/>
  <c r="L15" i="2"/>
  <c r="K71" i="2"/>
  <c r="K72" i="2"/>
  <c r="K73" i="2"/>
  <c r="K74" i="2"/>
  <c r="K75" i="2"/>
  <c r="K63" i="2"/>
  <c r="K64" i="2"/>
  <c r="K65" i="2"/>
  <c r="K66" i="2"/>
  <c r="K67" i="2"/>
  <c r="K55" i="2"/>
  <c r="K56" i="2"/>
  <c r="K57" i="2"/>
  <c r="K58" i="2"/>
  <c r="K59" i="2"/>
  <c r="K47" i="2"/>
  <c r="K48" i="2"/>
  <c r="K49" i="2"/>
  <c r="K50" i="2"/>
  <c r="K51" i="2"/>
  <c r="K39" i="2"/>
  <c r="K40" i="2"/>
  <c r="K41" i="2"/>
  <c r="K42" i="2"/>
  <c r="K43" i="2"/>
  <c r="K31" i="2"/>
  <c r="K32" i="2"/>
  <c r="K33" i="2"/>
  <c r="K34" i="2"/>
  <c r="K35" i="2"/>
  <c r="K23" i="2"/>
  <c r="K24" i="2"/>
  <c r="K25" i="2"/>
  <c r="K26" i="2"/>
  <c r="K27" i="2"/>
  <c r="M15" i="2"/>
  <c r="M16" i="2"/>
  <c r="M17" i="2"/>
  <c r="M18" i="2"/>
  <c r="M19" i="2"/>
  <c r="L16" i="2"/>
  <c r="L17" i="2"/>
  <c r="L18" i="2"/>
  <c r="L19" i="2"/>
  <c r="K15" i="2"/>
  <c r="K16" i="2"/>
  <c r="K17" i="2"/>
  <c r="K18" i="2"/>
  <c r="K19" i="2"/>
  <c r="M8" i="2"/>
  <c r="M9" i="2"/>
  <c r="M10" i="2"/>
  <c r="M11" i="2"/>
  <c r="L7" i="2"/>
  <c r="L8" i="2"/>
  <c r="L9" i="2"/>
  <c r="L10" i="2"/>
  <c r="L11" i="2"/>
  <c r="K7" i="2"/>
  <c r="K8" i="2"/>
  <c r="K9" i="2"/>
  <c r="K10" i="2"/>
  <c r="K11" i="2"/>
  <c r="J71" i="2"/>
  <c r="J72" i="2"/>
  <c r="J73" i="2"/>
  <c r="J74" i="2"/>
  <c r="J75" i="2"/>
  <c r="J63" i="2"/>
  <c r="J64" i="2"/>
  <c r="J65" i="2"/>
  <c r="J66" i="2"/>
  <c r="J67" i="2"/>
  <c r="J55" i="2"/>
  <c r="J56" i="2"/>
  <c r="J57" i="2"/>
  <c r="J58" i="2"/>
  <c r="J59" i="2"/>
  <c r="J47" i="2"/>
  <c r="J48" i="2"/>
  <c r="J49" i="2"/>
  <c r="J50" i="2"/>
  <c r="J51" i="2"/>
  <c r="J39" i="2"/>
  <c r="J40" i="2"/>
  <c r="J41" i="2"/>
  <c r="J42" i="2"/>
  <c r="J43" i="2"/>
  <c r="J31" i="2"/>
  <c r="J32" i="2"/>
  <c r="J33" i="2"/>
  <c r="J34" i="2"/>
  <c r="J35" i="2"/>
  <c r="J23" i="2"/>
  <c r="J24" i="2"/>
  <c r="J25" i="2"/>
  <c r="J26" i="2"/>
  <c r="J27" i="2"/>
  <c r="J15" i="2"/>
  <c r="J16" i="2"/>
  <c r="J17" i="2"/>
  <c r="J18" i="2"/>
  <c r="J19" i="2"/>
  <c r="J7" i="2"/>
  <c r="J8" i="2"/>
  <c r="J9" i="2"/>
  <c r="J10" i="2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077B7-CE6B-48C6-9350-500E3F26D750}" keepAlive="1" name="Query - averages" description="Connection to the 'averages' query in the workbook." type="5" refreshedVersion="0" background="1">
    <dbPr connection="Provider=Microsoft.Mashup.OleDb.1;Data Source=$Workbook$;Location=averages;Extended Properties=&quot;&quot;" command="SELECT * FROM [averages]"/>
  </connection>
  <connection id="2" xr16:uid="{B576807A-80A3-45BA-84F9-EE8CBE78310A}" keepAlive="1" name="Query - averages (1)" description="Connection to the 'averages (1)' query in the workbook." type="5" refreshedVersion="8" background="1" saveData="1">
    <dbPr connection="Provider=Microsoft.Mashup.OleDb.1;Data Source=$Workbook$;Location=&quot;averages (1)&quot;;Extended Properties=&quot;&quot;" command="SELECT * FROM [averages (1)]"/>
  </connection>
  <connection id="3" xr16:uid="{3543242B-ECE8-4EBD-99E1-63A64E0B1D7F}" keepAlive="1" name="Query - averages (2)" description="Connection to the 'averages (2)' query in the workbook." type="5" refreshedVersion="8" background="1" saveData="1">
    <dbPr connection="Provider=Microsoft.Mashup.OleDb.1;Data Source=$Workbook$;Location=&quot;averages (2)&quot;;Extended Properties=&quot;&quot;" command="SELECT * FROM [averages (2)]"/>
  </connection>
  <connection id="4" xr16:uid="{8432EC93-71BB-4047-A845-9F33745131D4}" keepAlive="1" name="Query - averages (3)" description="Connection to the 'averages (3)' query in the workbook." type="5" refreshedVersion="8" background="1" saveData="1">
    <dbPr connection="Provider=Microsoft.Mashup.OleDb.1;Data Source=$Workbook$;Location=&quot;averages (3)&quot;;Extended Properties=&quot;&quot;" command="SELECT * FROM [averages (3)]"/>
  </connection>
  <connection id="5" xr16:uid="{73175473-F05D-44BA-9350-99E7EE9D94B1}" keepAlive="1" name="Query - averages (4)" description="Connection to the 'averages (4)' query in the workbook." type="5" refreshedVersion="8" background="1" saveData="1">
    <dbPr connection="Provider=Microsoft.Mashup.OleDb.1;Data Source=$Workbook$;Location=&quot;averages (4)&quot;;Extended Properties=&quot;&quot;" command="SELECT * FROM [averages (4)]"/>
  </connection>
  <connection id="6" xr16:uid="{C74FE20C-7270-4B25-A642-D204EB5AB289}" keepAlive="1" name="Query - averages (5)" description="Connection to the 'averages (5)' query in the workbook." type="5" refreshedVersion="8" background="1" saveData="1">
    <dbPr connection="Provider=Microsoft.Mashup.OleDb.1;Data Source=$Workbook$;Location=&quot;averages (5)&quot;;Extended Properties=&quot;&quot;" command="SELECT * FROM [averages (5)]"/>
  </connection>
  <connection id="7" xr16:uid="{B3B25297-0248-4A53-ABCB-CA805779D094}" keepAlive="1" name="Query - averages (6)" description="Connection to the 'averages (6)' query in the workbook." type="5" refreshedVersion="8" background="1" saveData="1">
    <dbPr connection="Provider=Microsoft.Mashup.OleDb.1;Data Source=$Workbook$;Location=&quot;averages (6)&quot;;Extended Properties=&quot;&quot;" command="SELECT * FROM [averages (6)]"/>
  </connection>
  <connection id="8" xr16:uid="{3F58D3CD-2AA9-478A-B31F-9BB0EE406BAD}" keepAlive="1" name="Query - averages (7)" description="Connection to the 'averages (7)' query in the workbook." type="5" refreshedVersion="8" background="1" saveData="1">
    <dbPr connection="Provider=Microsoft.Mashup.OleDb.1;Data Source=$Workbook$;Location=&quot;averages (7)&quot;;Extended Properties=&quot;&quot;" command="SELECT * FROM [averages (7)]"/>
  </connection>
  <connection id="9" xr16:uid="{B6C88C74-00C3-497F-B842-993C310C6284}" keepAlive="1" name="Query - averages (8)" description="Connection to the 'averages (8)' query in the workbook." type="5" refreshedVersion="8" background="1" saveData="1">
    <dbPr connection="Provider=Microsoft.Mashup.OleDb.1;Data Source=$Workbook$;Location=&quot;averages (8)&quot;;Extended Properties=&quot;&quot;" command="SELECT * FROM [averages (8)]"/>
  </connection>
  <connection id="10" xr16:uid="{97F1E49A-D20B-402F-925A-B4F29245F9C1}" keepAlive="1" name="Query - averages (9)" description="Connection to the 'averages (9)' query in the workbook." type="5" refreshedVersion="8" background="1" saveData="1">
    <dbPr connection="Provider=Microsoft.Mashup.OleDb.1;Data Source=$Workbook$;Location=&quot;averages (9)&quot;;Extended Properties=&quot;&quot;" command="SELECT * FROM [averages (9)]"/>
  </connection>
</connections>
</file>

<file path=xl/sharedStrings.xml><?xml version="1.0" encoding="utf-8"?>
<sst xmlns="http://schemas.openxmlformats.org/spreadsheetml/2006/main" count="273" uniqueCount="32">
  <si>
    <t>Name</t>
  </si>
  <si>
    <t>RX</t>
  </si>
  <si>
    <t>FP</t>
  </si>
  <si>
    <t>11a1</t>
  </si>
  <si>
    <t>12a2</t>
  </si>
  <si>
    <t>13a3</t>
  </si>
  <si>
    <t>14a4</t>
  </si>
  <si>
    <t>15a5</t>
  </si>
  <si>
    <t>Trangle</t>
  </si>
  <si>
    <t>dist_meass</t>
  </si>
  <si>
    <t>TOF_clk</t>
  </si>
  <si>
    <t>delta_clk</t>
  </si>
  <si>
    <t>delta_ns</t>
  </si>
  <si>
    <t>dist_a_m</t>
  </si>
  <si>
    <t>dist_a_clk</t>
  </si>
  <si>
    <t>Speed of light</t>
  </si>
  <si>
    <t>timestep</t>
  </si>
  <si>
    <t>m/s</t>
  </si>
  <si>
    <t>s</t>
  </si>
  <si>
    <t>Meassurment</t>
  </si>
  <si>
    <t>Distance</t>
  </si>
  <si>
    <t>deviation</t>
  </si>
  <si>
    <t>dist_meass_m</t>
  </si>
  <si>
    <t>meassurment</t>
  </si>
  <si>
    <t>deviation_ns</t>
  </si>
  <si>
    <t>TOF [clk]</t>
  </si>
  <si>
    <t>Vzdálenost měřená [m]</t>
  </si>
  <si>
    <t>Vzdálenost opravdová [m]</t>
  </si>
  <si>
    <t>Rozdíl [ns]</t>
  </si>
  <si>
    <t>RX [dB]</t>
  </si>
  <si>
    <t>FP  [dB]</t>
  </si>
  <si>
    <t>Odchylka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</si>
</sst>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delta_ns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7"/>
            <c:dispRSqr val="0"/>
            <c:dispEq val="1"/>
            <c:trendlineLbl>
              <c:layout>
                <c:manualLayout>
                  <c:x val="-0.22002290407431729"/>
                  <c:y val="7.72674851970306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plus>
            <c:min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again!$I$5:$I$13</c:f>
              <c:numCache>
                <c:formatCode>0.00</c:formatCode>
                <c:ptCount val="9"/>
                <c:pt idx="0">
                  <c:v>-81.22</c:v>
                </c:pt>
                <c:pt idx="1">
                  <c:v>-84.27000000000001</c:v>
                </c:pt>
                <c:pt idx="2">
                  <c:v>-83.86</c:v>
                </c:pt>
                <c:pt idx="3">
                  <c:v>-88.54</c:v>
                </c:pt>
                <c:pt idx="4">
                  <c:v>-84.484999999999999</c:v>
                </c:pt>
                <c:pt idx="5">
                  <c:v>-85.775000000000006</c:v>
                </c:pt>
                <c:pt idx="6">
                  <c:v>-88.27</c:v>
                </c:pt>
                <c:pt idx="7">
                  <c:v>-88.68</c:v>
                </c:pt>
                <c:pt idx="8">
                  <c:v>-91.65</c:v>
                </c:pt>
              </c:numCache>
            </c:numRef>
          </c:xVal>
          <c:yVal>
            <c:numRef>
              <c:f>again!$R$5:$R$13</c:f>
              <c:numCache>
                <c:formatCode>0.00</c:formatCode>
                <c:ptCount val="9"/>
                <c:pt idx="0">
                  <c:v>513.66202633409421</c:v>
                </c:pt>
                <c:pt idx="1">
                  <c:v>513.85108970051544</c:v>
                </c:pt>
                <c:pt idx="2">
                  <c:v>514.01426030086805</c:v>
                </c:pt>
                <c:pt idx="3">
                  <c:v>514.49853719262808</c:v>
                </c:pt>
                <c:pt idx="4">
                  <c:v>514.04871934360449</c:v>
                </c:pt>
                <c:pt idx="5">
                  <c:v>514.29724804173873</c:v>
                </c:pt>
                <c:pt idx="6">
                  <c:v>514.46505763128278</c:v>
                </c:pt>
                <c:pt idx="7">
                  <c:v>515.3754759029548</c:v>
                </c:pt>
                <c:pt idx="8">
                  <c:v>515.56444347811248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D-4BB3-AE8C-55D9363A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07375"/>
        <c:axId val="601805935"/>
      </c:scatterChart>
      <c:valAx>
        <c:axId val="601807375"/>
        <c:scaling>
          <c:orientation val="minMax"/>
          <c:max val="-8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 power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5935"/>
        <c:crosses val="autoZero"/>
        <c:crossBetween val="midCat"/>
      </c:valAx>
      <c:valAx>
        <c:axId val="6018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Opoždění </a:t>
                </a:r>
                <a:r>
                  <a:rPr lang="en-US"/>
                  <a:t>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delta_ns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4"/>
            <c:dispRSqr val="0"/>
            <c:dispEq val="1"/>
            <c:trendlineLbl>
              <c:layout>
                <c:manualLayout>
                  <c:x val="-0.11644925634295714"/>
                  <c:y val="-1.793525809273840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plus>
            <c:min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again!$I$14:$I$22</c:f>
              <c:numCache>
                <c:formatCode>0.00</c:formatCode>
                <c:ptCount val="9"/>
                <c:pt idx="0">
                  <c:v>-82.46</c:v>
                </c:pt>
                <c:pt idx="1">
                  <c:v>-83.51</c:v>
                </c:pt>
                <c:pt idx="2">
                  <c:v>-84.67</c:v>
                </c:pt>
                <c:pt idx="3">
                  <c:v>-88.67</c:v>
                </c:pt>
                <c:pt idx="4">
                  <c:v>-86.76</c:v>
                </c:pt>
                <c:pt idx="5">
                  <c:v>-89</c:v>
                </c:pt>
                <c:pt idx="6">
                  <c:v>-88.914999999999992</c:v>
                </c:pt>
                <c:pt idx="7">
                  <c:v>-91.68</c:v>
                </c:pt>
                <c:pt idx="8">
                  <c:v>-94.53</c:v>
                </c:pt>
              </c:numCache>
            </c:numRef>
          </c:xVal>
          <c:yVal>
            <c:numRef>
              <c:f>again!$R$14:$R$23</c:f>
              <c:numCache>
                <c:formatCode>0.00</c:formatCode>
                <c:ptCount val="10"/>
                <c:pt idx="0">
                  <c:v>513.99910902154829</c:v>
                </c:pt>
                <c:pt idx="1">
                  <c:v>514.42056027330523</c:v>
                </c:pt>
                <c:pt idx="2">
                  <c:v>514.67149834832253</c:v>
                </c:pt>
                <c:pt idx="3">
                  <c:v>515.03598750695164</c:v>
                </c:pt>
                <c:pt idx="4">
                  <c:v>514.79393375180496</c:v>
                </c:pt>
                <c:pt idx="5">
                  <c:v>515.33944222272225</c:v>
                </c:pt>
                <c:pt idx="6">
                  <c:v>515.49408491476697</c:v>
                </c:pt>
                <c:pt idx="7">
                  <c:v>516.20545720676898</c:v>
                </c:pt>
                <c:pt idx="8">
                  <c:v>517.43320854516742</c:v>
                </c:pt>
                <c:pt idx="9">
                  <c:v>513.65630551690413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C-4D65-B720-B3BD3472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07375"/>
        <c:axId val="601805935"/>
      </c:scatterChart>
      <c:valAx>
        <c:axId val="601807375"/>
        <c:scaling>
          <c:orientation val="minMax"/>
          <c:max val="-8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RX power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5935"/>
        <c:crosses val="autoZero"/>
        <c:crossBetween val="midCat"/>
      </c:valAx>
      <c:valAx>
        <c:axId val="6018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Delay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delta_ns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3"/>
            <c:dispRSqr val="0"/>
            <c:dispEq val="1"/>
            <c:trendlineLbl>
              <c:layout>
                <c:manualLayout>
                  <c:x val="-0.11644925634295714"/>
                  <c:y val="-1.793525809273840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plus>
            <c:min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again!$I$23:$I$31</c:f>
              <c:numCache>
                <c:formatCode>0.00</c:formatCode>
                <c:ptCount val="9"/>
                <c:pt idx="0">
                  <c:v>-81.739999999999995</c:v>
                </c:pt>
                <c:pt idx="1">
                  <c:v>-83.06</c:v>
                </c:pt>
                <c:pt idx="2">
                  <c:v>-83.51</c:v>
                </c:pt>
                <c:pt idx="3">
                  <c:v>-85.97</c:v>
                </c:pt>
                <c:pt idx="4">
                  <c:v>-83.53</c:v>
                </c:pt>
                <c:pt idx="5">
                  <c:v>-85.78</c:v>
                </c:pt>
                <c:pt idx="6">
                  <c:v>-86.89</c:v>
                </c:pt>
                <c:pt idx="7">
                  <c:v>-92.24</c:v>
                </c:pt>
                <c:pt idx="8">
                  <c:v>-96.2</c:v>
                </c:pt>
              </c:numCache>
            </c:numRef>
          </c:xVal>
          <c:yVal>
            <c:numRef>
              <c:f>again!$R$23:$R$31</c:f>
              <c:numCache>
                <c:formatCode>0.00</c:formatCode>
                <c:ptCount val="9"/>
                <c:pt idx="0">
                  <c:v>513.65630551690413</c:v>
                </c:pt>
                <c:pt idx="1">
                  <c:v>514.06077296847309</c:v>
                </c:pt>
                <c:pt idx="2">
                  <c:v>514.04199984633829</c:v>
                </c:pt>
                <c:pt idx="3">
                  <c:v>514.58794984959627</c:v>
                </c:pt>
                <c:pt idx="4">
                  <c:v>514.58696884007111</c:v>
                </c:pt>
                <c:pt idx="5">
                  <c:v>515.03173047726159</c:v>
                </c:pt>
                <c:pt idx="6">
                  <c:v>515.18921131574962</c:v>
                </c:pt>
                <c:pt idx="7">
                  <c:v>515.72613851545054</c:v>
                </c:pt>
                <c:pt idx="8">
                  <c:v>516.00581650206436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4-43D0-BA1A-5ADF998D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07375"/>
        <c:axId val="601805935"/>
      </c:scatterChart>
      <c:valAx>
        <c:axId val="601807375"/>
        <c:scaling>
          <c:orientation val="minMax"/>
          <c:max val="-8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RX power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5935"/>
        <c:crosses val="autoZero"/>
        <c:crossBetween val="midCat"/>
      </c:valAx>
      <c:valAx>
        <c:axId val="6018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Delay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delta_ns 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6"/>
            <c:dispRSqr val="0"/>
            <c:dispEq val="1"/>
            <c:trendlineLbl>
              <c:layout>
                <c:manualLayout>
                  <c:x val="-0.26021193323329672"/>
                  <c:y val="2.7175196850393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plus>
            <c:min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again!$I$32:$I$40</c:f>
              <c:numCache>
                <c:formatCode>0.00</c:formatCode>
                <c:ptCount val="9"/>
                <c:pt idx="0">
                  <c:v>-80.88</c:v>
                </c:pt>
                <c:pt idx="1">
                  <c:v>-82.435000000000002</c:v>
                </c:pt>
                <c:pt idx="2">
                  <c:v>-84.46</c:v>
                </c:pt>
                <c:pt idx="3">
                  <c:v>-82.42</c:v>
                </c:pt>
                <c:pt idx="4">
                  <c:v>-84.91</c:v>
                </c:pt>
                <c:pt idx="5">
                  <c:v>-85.1</c:v>
                </c:pt>
                <c:pt idx="6">
                  <c:v>-89.13</c:v>
                </c:pt>
                <c:pt idx="7">
                  <c:v>-90.685000000000002</c:v>
                </c:pt>
                <c:pt idx="8">
                  <c:v>-92.29</c:v>
                </c:pt>
              </c:numCache>
            </c:numRef>
          </c:xVal>
          <c:yVal>
            <c:numRef>
              <c:f>again!$R$32:$R$40</c:f>
              <c:numCache>
                <c:formatCode>0.00</c:formatCode>
                <c:ptCount val="9"/>
                <c:pt idx="0">
                  <c:v>513.74856142150566</c:v>
                </c:pt>
                <c:pt idx="1">
                  <c:v>514.73291931906181</c:v>
                </c:pt>
                <c:pt idx="2">
                  <c:v>515.4839378777184</c:v>
                </c:pt>
                <c:pt idx="3">
                  <c:v>515.11537109589415</c:v>
                </c:pt>
                <c:pt idx="4">
                  <c:v>514.28182802502101</c:v>
                </c:pt>
                <c:pt idx="5">
                  <c:v>514.52433487332496</c:v>
                </c:pt>
                <c:pt idx="6">
                  <c:v>515.05083522106622</c:v>
                </c:pt>
                <c:pt idx="7">
                  <c:v>515.50265820484151</c:v>
                </c:pt>
                <c:pt idx="8">
                  <c:v>515.80586665585633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6-447C-B090-34016A4D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07375"/>
        <c:axId val="601805935"/>
      </c:scatterChart>
      <c:valAx>
        <c:axId val="601807375"/>
        <c:scaling>
          <c:orientation val="minMax"/>
          <c:max val="-8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RX power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5935"/>
        <c:crosses val="autoZero"/>
        <c:crossBetween val="midCat"/>
      </c:valAx>
      <c:valAx>
        <c:axId val="6018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Delay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delta_ns 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3"/>
            <c:dispRSqr val="0"/>
            <c:dispEq val="1"/>
            <c:trendlineLbl>
              <c:layout>
                <c:manualLayout>
                  <c:x val="-0.11644925634295714"/>
                  <c:y val="-1.793525809273840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plus>
            <c:minus>
              <c:numRef>
                <c:f>again!$S$5:$S$13</c:f>
                <c:numCache>
                  <c:formatCode>General</c:formatCode>
                  <c:ptCount val="9"/>
                  <c:pt idx="0">
                    <c:v>3.3366416468926441E-3</c:v>
                  </c:pt>
                  <c:pt idx="1">
                    <c:v>3.3366416468926441E-3</c:v>
                  </c:pt>
                  <c:pt idx="2">
                    <c:v>3.3366416468926441E-3</c:v>
                  </c:pt>
                  <c:pt idx="3">
                    <c:v>3.3366416468926441E-3</c:v>
                  </c:pt>
                  <c:pt idx="4">
                    <c:v>3.3366416468926441E-3</c:v>
                  </c:pt>
                  <c:pt idx="5">
                    <c:v>8.3416041172316102E-2</c:v>
                  </c:pt>
                  <c:pt idx="6">
                    <c:v>8.3416041172316102E-2</c:v>
                  </c:pt>
                  <c:pt idx="7">
                    <c:v>0.1668320823446322</c:v>
                  </c:pt>
                  <c:pt idx="8">
                    <c:v>0.1668320823446322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again!$I$41:$I$49</c:f>
              <c:numCache>
                <c:formatCode>0.00</c:formatCode>
                <c:ptCount val="9"/>
                <c:pt idx="0">
                  <c:v>-81.585000000000008</c:v>
                </c:pt>
                <c:pt idx="1">
                  <c:v>-82.81</c:v>
                </c:pt>
                <c:pt idx="2">
                  <c:v>-85.094999999999999</c:v>
                </c:pt>
                <c:pt idx="3">
                  <c:v>-87.17</c:v>
                </c:pt>
                <c:pt idx="4">
                  <c:v>-86.82</c:v>
                </c:pt>
                <c:pt idx="5">
                  <c:v>-88.19</c:v>
                </c:pt>
                <c:pt idx="6">
                  <c:v>-91.21</c:v>
                </c:pt>
                <c:pt idx="7">
                  <c:v>-95.1</c:v>
                </c:pt>
                <c:pt idx="8">
                  <c:v>-95.76</c:v>
                </c:pt>
              </c:numCache>
            </c:numRef>
          </c:xVal>
          <c:yVal>
            <c:numRef>
              <c:f>again!$R$41:$R$49</c:f>
              <c:numCache>
                <c:formatCode>0.00</c:formatCode>
                <c:ptCount val="9"/>
                <c:pt idx="0">
                  <c:v>513.39690174650559</c:v>
                </c:pt>
                <c:pt idx="1">
                  <c:v>514.30955003630527</c:v>
                </c:pt>
                <c:pt idx="2">
                  <c:v>514.13727930583514</c:v>
                </c:pt>
                <c:pt idx="3">
                  <c:v>514.76238027765282</c:v>
                </c:pt>
                <c:pt idx="4">
                  <c:v>514.06543450428228</c:v>
                </c:pt>
                <c:pt idx="5">
                  <c:v>515.05591195636441</c:v>
                </c:pt>
                <c:pt idx="6">
                  <c:v>514.87196190777388</c:v>
                </c:pt>
                <c:pt idx="7">
                  <c:v>516.14412332704501</c:v>
                </c:pt>
                <c:pt idx="8">
                  <c:v>515.93965753650764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4-4843-87FB-59C2BB5A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07375"/>
        <c:axId val="601805935"/>
      </c:scatterChart>
      <c:valAx>
        <c:axId val="601807375"/>
        <c:scaling>
          <c:orientation val="minMax"/>
          <c:max val="-8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RX power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5935"/>
        <c:crosses val="autoZero"/>
        <c:crossBetween val="midCat"/>
      </c:valAx>
      <c:valAx>
        <c:axId val="6018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Delay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409574</xdr:colOff>
      <xdr:row>2</xdr:row>
      <xdr:rowOff>4762</xdr:rowOff>
    </xdr:from>
    <xdr:to>
      <xdr:col>30</xdr:col>
      <xdr:colOff>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D788-767D-5D7A-DB2E-21C0B7F2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17</xdr:row>
      <xdr:rowOff>28575</xdr:rowOff>
    </xdr:from>
    <xdr:to>
      <xdr:col>29</xdr:col>
      <xdr:colOff>361950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487EE-A202-4EB3-A5F1-D8C695597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438150</xdr:colOff>
      <xdr:row>31</xdr:row>
      <xdr:rowOff>161925</xdr:rowOff>
    </xdr:from>
    <xdr:to>
      <xdr:col>29</xdr:col>
      <xdr:colOff>409575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D9D753-228F-4380-9A7D-417B3EA2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38</xdr:col>
      <xdr:colOff>581025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DC400-51D0-457A-9799-7D56E09E9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581025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7AF73-C49E-4DEF-9B4E-FC170FFC9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122769-F50A-455B-BBC5-7354FDF8659D}" autoFormatId="16" applyNumberFormats="0" applyBorderFormats="0" applyFontFormats="0" applyPatternFormats="0" applyAlignmentFormats="0" applyWidthHeightFormats="0">
  <queryTableRefresh nextId="13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D238E5B-2792-457F-8372-E16D86BB2D65}" autoFormatId="16" applyNumberFormats="0" applyBorderFormats="0" applyFontFormats="0" applyPatternFormats="0" applyAlignmentFormats="0" applyWidthHeightFormats="0">
  <queryTableRefresh nextId="13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C71A89C-745A-4662-AF7B-4975CD6BA971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7C5DC0C-614E-401C-B067-468DD06EB317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78FCE42-9DC5-488E-9767-FD9AFEED61D1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B894F88B-7F1D-4459-A7CF-A828C3AF5688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2F58E97-5A34-49F3-A8B5-9B0973D32E4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A32223D5-EA3D-47D1-8501-E855A8BF50EE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E7F22E0-EF32-46C4-B6B9-ACF8EAA7DF04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RX" tableColumnId="2"/>
      <queryTableField id="3" name="FP" tableColumnId="3"/>
      <queryTableField id="4" name="TOF" tableColumnId="4"/>
      <queryTableField id="5" name="di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BA6A32-130B-4153-AE5A-7C841B2A8FC8}" name="averages__1" displayName="averages__1" ref="E6:M11" tableType="queryTable" totalsRowShown="0" headerRowDxfId="83">
  <autoFilter ref="E6:M11" xr:uid="{DBBA6A32-130B-4153-AE5A-7C841B2A8FC8}"/>
  <tableColumns count="9">
    <tableColumn id="1" xr3:uid="{6BE2EAD6-6191-451E-8DD0-B80C8E2A1FAF}" uniqueName="1" name="Name" queryTableFieldId="1" dataDxfId="82"/>
    <tableColumn id="2" xr3:uid="{F2B392E5-C33A-48C1-9A94-AFD5338ED738}" uniqueName="2" name="RX" queryTableFieldId="2" dataDxfId="81"/>
    <tableColumn id="3" xr3:uid="{2CC97D3B-9B27-4731-8D2F-C8E58EA97598}" uniqueName="3" name="FP" queryTableFieldId="3" dataDxfId="80"/>
    <tableColumn id="4" xr3:uid="{CD738C22-8AEC-4F80-94E1-FB89B06572B3}" uniqueName="4" name="TOF_clk" queryTableFieldId="4" dataDxfId="79"/>
    <tableColumn id="5" xr3:uid="{44AE026B-3246-49AC-8608-1CE24B6A4850}" uniqueName="5" name="dist_meass" queryTableFieldId="5" dataDxfId="78"/>
    <tableColumn id="6" xr3:uid="{02BD03D4-5D44-42C8-8FE9-5B80E3957F93}" uniqueName="6" name="dist_a_m" queryTableFieldId="6" dataDxfId="77">
      <calculatedColumnFormula>SQRT((POWER($E$5,2)+POWER($B6,2)))</calculatedColumnFormula>
    </tableColumn>
    <tableColumn id="7" xr3:uid="{E012C45B-309A-4DF7-AF9E-75D3329CEDD0}" uniqueName="7" name="dist_a_clk" queryTableFieldId="7" dataDxfId="76">
      <calculatedColumnFormula>(averages__1[[#This Row],[dist_a_m]]/$D$1)/$G$1</calculatedColumnFormula>
    </tableColumn>
    <tableColumn id="9" xr3:uid="{53E40489-98B3-4538-BC3E-066BA8DC69F8}" uniqueName="9" name="delta_clk" queryTableFieldId="9" dataDxfId="75">
      <calculatedColumnFormula>averages__1[[#This Row],[TOF_clk]]-averages__1[[#This Row],[dist_a_clk]]</calculatedColumnFormula>
    </tableColumn>
    <tableColumn id="10" xr3:uid="{68844246-E7A6-41BC-96E1-0DD6ECF05C29}" uniqueName="10" name="delta_ns" queryTableFieldId="10" dataDxfId="74">
      <calculatedColumnFormula>averages__1[[#This Row],[delta_clk]]*$G$1*1000000000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5AADC-E06E-4F28-B745-E59AEA649D17}" name="Table1" displayName="Table1" ref="B5:C10" totalsRowShown="0">
  <autoFilter ref="B5:C10" xr:uid="{14B5AADC-E06E-4F28-B745-E59AEA649D17}"/>
  <tableColumns count="2">
    <tableColumn id="1" xr3:uid="{A492499D-25A5-4FF5-999E-7E70ECE22FB2}" name="Name"/>
    <tableColumn id="2" xr3:uid="{7277FCB5-DED0-47E8-BDC6-6713B2BB3778}" name="Trang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315271-8B92-4269-9A58-66A4CF2F59BC}" name="Table3" displayName="Table3" ref="B12:D21" totalsRowShown="0">
  <autoFilter ref="B12:D21" xr:uid="{76315271-8B92-4269-9A58-66A4CF2F59BC}"/>
  <tableColumns count="3">
    <tableColumn id="1" xr3:uid="{70417B63-A5DA-434B-8DE7-9E4C1DD83312}" name="Meassurment"/>
    <tableColumn id="2" xr3:uid="{7BB66DB9-56B9-40EC-8ACB-4F17E7C043C3}" name="Distance"/>
    <tableColumn id="3" xr3:uid="{961BA608-4732-4043-867E-C6C0FF677625}" name="devia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72660-44FD-4ED4-BD7B-ED58F33EF18D}" name="Table4" displayName="Table4" ref="H4:S49" totalsRowShown="0">
  <autoFilter ref="H4:S49" xr:uid="{1C772660-44FD-4ED4-BD7B-ED58F33EF18D}"/>
  <sortState xmlns:xlrd2="http://schemas.microsoft.com/office/spreadsheetml/2017/richdata2" ref="H5:R49">
    <sortCondition ref="H4:H49"/>
  </sortState>
  <tableColumns count="12">
    <tableColumn id="1" xr3:uid="{F4368B4B-7F40-492E-BE4B-B03903E997DB}" name="Name"/>
    <tableColumn id="2" xr3:uid="{CBAF146A-4828-4769-B45F-43C1B4E545EC}" name="RX" dataDxfId="9"/>
    <tableColumn id="3" xr3:uid="{4E6D01D5-6795-4FD6-BC49-C503F2FD3AEE}" name="FP" dataDxfId="8"/>
    <tableColumn id="4" xr3:uid="{1DBE4CF2-4F19-4BC2-A83A-13B9619A393C}" name="TOF_clk" dataDxfId="7"/>
    <tableColumn id="5" xr3:uid="{3D02C996-4806-4C0C-88C0-310847C33FA2}" name="dist_meass_m" dataDxfId="6"/>
    <tableColumn id="6" xr3:uid="{B6E33506-2D7A-498E-9E0B-23AC2491BB74}" name="meassurment" dataDxfId="5"/>
    <tableColumn id="7" xr3:uid="{2A353CB0-3D16-455F-9CB5-9430CDA61244}" name="dist_a_m" dataDxfId="4">
      <calculatedColumnFormula>SQRT(VLOOKUP(M5,Table3[#All],2,FALSE)^2 + VLOOKUP(H5,Table1[#All],2,FALSE)^2)</calculatedColumnFormula>
    </tableColumn>
    <tableColumn id="8" xr3:uid="{46020FB0-EB2C-4FB6-B805-D75464A210B2}" name="deviation">
      <calculatedColumnFormula>VLOOKUP(M5,Table3[#All],3,FALSE)</calculatedColumnFormula>
    </tableColumn>
    <tableColumn id="9" xr3:uid="{F6C4BD6C-8905-4920-BAE4-1D038D0FEF0A}" name="dist_a_clk" dataDxfId="3">
      <calculatedColumnFormula>(N5/$C$2)/$C$3</calculatedColumnFormula>
    </tableColumn>
    <tableColumn id="10" xr3:uid="{9FF30CBC-BC7A-4AAC-BE7A-429050CEFC63}" name="delta_clk" dataDxfId="2">
      <calculatedColumnFormula>K5-P5</calculatedColumnFormula>
    </tableColumn>
    <tableColumn id="11" xr3:uid="{DA5B1A25-7EFB-4DCA-B258-8E6EDC52CB14}" name="delta_ns" dataDxfId="1">
      <calculatedColumnFormula>Q5*$C$3*1000000000</calculatedColumnFormula>
    </tableColumn>
    <tableColumn id="12" xr3:uid="{1EDF0F68-E177-492B-9715-224DF4D7ACBE}" name="deviation_ns" dataDxfId="0">
      <calculatedColumnFormula>((Table4[[#This Row],[deviation]]/$C$2)*1000000000)/2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9ACDD3-24DA-47CF-94ED-5BF83609CB63}" name="averages__2" displayName="averages__2" ref="E14:M19" tableType="queryTable" totalsRowShown="0">
  <autoFilter ref="E14:M19" xr:uid="{B69ACDD3-24DA-47CF-94ED-5BF83609CB63}"/>
  <tableColumns count="9">
    <tableColumn id="1" xr3:uid="{BBD26E3B-F99D-4FF9-B17D-9100D017E2A1}" uniqueName="1" name="Name" queryTableFieldId="1" dataDxfId="73"/>
    <tableColumn id="2" xr3:uid="{76C57C5E-69A9-41D8-8C1B-BA1AC53319AB}" uniqueName="2" name="RX" queryTableFieldId="2" dataDxfId="72"/>
    <tableColumn id="3" xr3:uid="{91B7AD08-B485-4EF1-9F2C-01B410763283}" uniqueName="3" name="FP" queryTableFieldId="3"/>
    <tableColumn id="4" xr3:uid="{0AE63BB1-6325-47D3-A71A-BA9B93E52D02}" uniqueName="4" name="TOF_clk" queryTableFieldId="4" dataDxfId="71"/>
    <tableColumn id="5" xr3:uid="{7052B461-B432-442A-8753-CD44025E33A5}" uniqueName="5" name="dist_meass" queryTableFieldId="5" dataDxfId="70"/>
    <tableColumn id="6" xr3:uid="{153B49A5-7DC9-4A69-966E-576AAC9ED706}" uniqueName="6" name="dist_a_m" queryTableFieldId="6" dataDxfId="69">
      <calculatedColumnFormula>SQRT((POWER($E$13,2)+POWER($B14,2)))</calculatedColumnFormula>
    </tableColumn>
    <tableColumn id="10" xr3:uid="{A40DABED-B7C2-4570-9840-B127A158A486}" uniqueName="10" name="dist_a_clk" queryTableFieldId="10" dataDxfId="68">
      <calculatedColumnFormula>(averages__2[[#This Row],[dist_a_m]]/$D$1)/$G$1</calculatedColumnFormula>
    </tableColumn>
    <tableColumn id="11" xr3:uid="{0D5DA930-2187-4712-8BE9-92F1FB7E3C13}" uniqueName="11" name="delta_clk" queryTableFieldId="11" dataDxfId="67">
      <calculatedColumnFormula>averages__2[[#This Row],[TOF_clk]]-averages__2[[#This Row],[dist_a_clk]]</calculatedColumnFormula>
    </tableColumn>
    <tableColumn id="12" xr3:uid="{E0FE994F-BB40-4C17-A901-ED7626BABEDD}" uniqueName="12" name="delta_ns" queryTableFieldId="12" dataDxfId="66">
      <calculatedColumnFormula>averages__2[[#This Row],[delta_clk]]*$G$1*1000000000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7EAEBB-C9B3-4A59-84B4-FF29D76AF0C1}" name="averages__3" displayName="averages__3" ref="E22:M27" tableType="queryTable" totalsRowShown="0">
  <autoFilter ref="E22:M27" xr:uid="{1C7EAEBB-C9B3-4A59-84B4-FF29D76AF0C1}"/>
  <tableColumns count="9">
    <tableColumn id="1" xr3:uid="{D0F187A7-B76D-4420-B67D-376A946805A1}" uniqueName="1" name="Name" queryTableFieldId="1" dataDxfId="65"/>
    <tableColumn id="2" xr3:uid="{E8D3E0F9-9BF4-425F-AA5E-3BC826221C9C}" uniqueName="2" name="RX" queryTableFieldId="2" dataDxfId="64"/>
    <tableColumn id="3" xr3:uid="{BBD223B2-3560-4548-92E4-18AA78B2B343}" uniqueName="3" name="FP" queryTableFieldId="3"/>
    <tableColumn id="4" xr3:uid="{03398758-57DA-4E99-945A-337DF4CA0511}" uniqueName="4" name="TOF_clk" queryTableFieldId="4" dataDxfId="63"/>
    <tableColumn id="5" xr3:uid="{3C5A8696-CEF7-41B3-AFA0-B2C22D277361}" uniqueName="5" name="dist_meass" queryTableFieldId="5" dataDxfId="62"/>
    <tableColumn id="6" xr3:uid="{00E58DB8-540C-45F3-AED7-8E7ACD410AF8}" uniqueName="6" name="dist_a_m" queryTableFieldId="6" dataDxfId="61">
      <calculatedColumnFormula>SQRT((POWER($E$21,2)+POWER($B22,2)))</calculatedColumnFormula>
    </tableColumn>
    <tableColumn id="7" xr3:uid="{91EFF87D-A886-4E10-8C7C-297AF523C4E0}" uniqueName="7" name="dist_a_clk" queryTableFieldId="7" dataDxfId="60">
      <calculatedColumnFormula>(averages__3[[#This Row],[dist_a_m]]/$D$1)/$G$1</calculatedColumnFormula>
    </tableColumn>
    <tableColumn id="8" xr3:uid="{B83D5DBC-FC75-4E1A-911B-B7E9848C543B}" uniqueName="8" name="delta_clk" queryTableFieldId="8" dataDxfId="59">
      <calculatedColumnFormula>averages__3[[#This Row],[TOF_clk]]-averages__3[[#This Row],[dist_a_clk]]</calculatedColumnFormula>
    </tableColumn>
    <tableColumn id="9" xr3:uid="{B178F70A-A080-4373-9089-F0C5C0CCCC5F}" uniqueName="9" name="delta_ns" queryTableFieldId="9" dataDxfId="58">
      <calculatedColumnFormula>averages__3[[#This Row],[delta_clk]]*$G$1*1000000000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1922067-138D-4162-9306-45AED49B0ED4}" name="averages__4" displayName="averages__4" ref="E30:M35" tableType="queryTable" totalsRowShown="0">
  <autoFilter ref="E30:M35" xr:uid="{D1922067-138D-4162-9306-45AED49B0ED4}"/>
  <tableColumns count="9">
    <tableColumn id="1" xr3:uid="{1ECA0A8F-0A9F-459C-A471-B31761CA2067}" uniqueName="1" name="Name" queryTableFieldId="1" dataDxfId="57"/>
    <tableColumn id="2" xr3:uid="{19005428-26DF-440F-8062-21B17193ACEC}" uniqueName="2" name="RX" queryTableFieldId="2" dataDxfId="56"/>
    <tableColumn id="3" xr3:uid="{17FCA190-682C-4800-8BC6-8BB40FF2DA8C}" uniqueName="3" name="FP" queryTableFieldId="3"/>
    <tableColumn id="4" xr3:uid="{C690AE82-8B7C-4900-9AE0-10647B298E01}" uniqueName="4" name="TOF_clk" queryTableFieldId="4" dataDxfId="55"/>
    <tableColumn id="5" xr3:uid="{3CAF09B8-F2BE-4A6F-A782-918A27B82575}" uniqueName="5" name="dist_meass" queryTableFieldId="5" dataDxfId="54"/>
    <tableColumn id="6" xr3:uid="{021F3BDB-EA13-43B2-B335-3592E5DFB4E2}" uniqueName="6" name="dist_a_m" queryTableFieldId="6" dataDxfId="53">
      <calculatedColumnFormula>SQRT((POWER($E$29,2)+POWER($B30,2)))</calculatedColumnFormula>
    </tableColumn>
    <tableColumn id="7" xr3:uid="{F4041314-2973-4DBE-ABBF-6A2448A9B774}" uniqueName="7" name="dist_a_clk" queryTableFieldId="7" dataDxfId="52">
      <calculatedColumnFormula>(averages__4[[#This Row],[dist_a_m]]/$D$1)/$G$1</calculatedColumnFormula>
    </tableColumn>
    <tableColumn id="8" xr3:uid="{3D48A14C-B5E4-4F4C-A081-4937D9AFA06B}" uniqueName="8" name="delta_clk" queryTableFieldId="8" dataDxfId="51">
      <calculatedColumnFormula>averages__4[[#This Row],[TOF_clk]]-averages__4[[#This Row],[dist_a_clk]]</calculatedColumnFormula>
    </tableColumn>
    <tableColumn id="9" xr3:uid="{B65C3C1C-FD54-431D-86C9-13D79FB38E69}" uniqueName="9" name="delta_ns" queryTableFieldId="9" dataDxfId="50">
      <calculatedColumnFormula>averages__4[[#This Row],[delta_clk]]*$G$1*1000000000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14EC993-6AFB-48EF-9358-64B5A8D9B87B}" name="averages__5" displayName="averages__5" ref="E38:M43" tableType="queryTable" totalsRowShown="0">
  <autoFilter ref="E38:M43" xr:uid="{014EC993-6AFB-48EF-9358-64B5A8D9B87B}"/>
  <tableColumns count="9">
    <tableColumn id="1" xr3:uid="{6E9F241C-7E2D-4083-A559-7BA344A6CFE2}" uniqueName="1" name="Name" queryTableFieldId="1" dataDxfId="49"/>
    <tableColumn id="2" xr3:uid="{BE154D24-949D-4346-A336-4BBF394DB163}" uniqueName="2" name="RX" queryTableFieldId="2" dataDxfId="48"/>
    <tableColumn id="3" xr3:uid="{96522DCA-47F3-468F-BA72-203AB2AAA9C4}" uniqueName="3" name="FP" queryTableFieldId="3"/>
    <tableColumn id="4" xr3:uid="{2DAF417A-9196-4F76-A28E-AF6446375D0E}" uniqueName="4" name="TOF_clk" queryTableFieldId="4" dataDxfId="47"/>
    <tableColumn id="5" xr3:uid="{F40F102F-166C-4FBC-B5E9-221F92103E16}" uniqueName="5" name="dist_meass" queryTableFieldId="5" dataDxfId="46"/>
    <tableColumn id="6" xr3:uid="{83B39E36-D97A-4E50-A765-591897381FC3}" uniqueName="6" name="dist_a_m" queryTableFieldId="6" dataDxfId="45">
      <calculatedColumnFormula>SQRT((POWER($E$37,2)+POWER($B38,2)))</calculatedColumnFormula>
    </tableColumn>
    <tableColumn id="7" xr3:uid="{0400513D-DAE2-4B18-BE64-79BC6CB26CF9}" uniqueName="7" name="dist_a_clk" queryTableFieldId="7" dataDxfId="44">
      <calculatedColumnFormula>(averages__5[[#This Row],[dist_a_m]]/$D$1)/$G$1</calculatedColumnFormula>
    </tableColumn>
    <tableColumn id="8" xr3:uid="{D44D1F5A-B5CA-4CBC-92D7-0ED61EBEA759}" uniqueName="8" name="delta_clk" queryTableFieldId="8" dataDxfId="43">
      <calculatedColumnFormula>averages__5[[#This Row],[TOF_clk]]-averages__5[[#This Row],[dist_a_clk]]</calculatedColumnFormula>
    </tableColumn>
    <tableColumn id="9" xr3:uid="{73F4CA19-6C30-44AE-B85C-D880BC3624BC}" uniqueName="9" name="delta_ns" queryTableFieldId="9" dataDxfId="42">
      <calculatedColumnFormula>averages__5[[#This Row],[delta_clk]]*$G$1*1000000000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E965D22-544F-4AFD-904F-50E7D15F4625}" name="averages__6" displayName="averages__6" ref="E46:M51" tableType="queryTable" totalsRowShown="0">
  <autoFilter ref="E46:M51" xr:uid="{4E965D22-544F-4AFD-904F-50E7D15F4625}"/>
  <tableColumns count="9">
    <tableColumn id="1" xr3:uid="{33461054-B179-4BA0-AFB1-EE84CA330EE1}" uniqueName="1" name="Name" queryTableFieldId="1" dataDxfId="41"/>
    <tableColumn id="2" xr3:uid="{2C89AD9C-15B4-4820-9552-451F7E4E4692}" uniqueName="2" name="RX" queryTableFieldId="2" dataDxfId="40"/>
    <tableColumn id="3" xr3:uid="{B7CB428D-DFE2-480D-8E4D-BC4DC1DA2882}" uniqueName="3" name="FP" queryTableFieldId="3"/>
    <tableColumn id="4" xr3:uid="{92CAC3A8-89D9-4C86-96C7-90D294B72C3C}" uniqueName="4" name="TOF_clk" queryTableFieldId="4" dataDxfId="39"/>
    <tableColumn id="5" xr3:uid="{9AEBD26F-047A-4A8F-B756-2C31B3B0791C}" uniqueName="5" name="dist_meass" queryTableFieldId="5" dataDxfId="38"/>
    <tableColumn id="6" xr3:uid="{5E7C9AD4-20F1-4C27-BABA-4511ADAB34CE}" uniqueName="6" name="dist_a_m" queryTableFieldId="6" dataDxfId="37">
      <calculatedColumnFormula>SQRT((POWER($E$45,2)+POWER($B46,2)))</calculatedColumnFormula>
    </tableColumn>
    <tableColumn id="7" xr3:uid="{BB396A54-22C4-4AA7-9722-CBE61C20EFA8}" uniqueName="7" name="dist_a_clk" queryTableFieldId="7" dataDxfId="36">
      <calculatedColumnFormula>(averages__6[[#This Row],[dist_a_m]]/$D$1)/$G$1</calculatedColumnFormula>
    </tableColumn>
    <tableColumn id="8" xr3:uid="{B94D8C20-C802-48BD-AF38-6B872E12BCDF}" uniqueName="8" name="delta_clk" queryTableFieldId="8" dataDxfId="35">
      <calculatedColumnFormula>averages__6[[#This Row],[TOF_clk]]-averages__6[[#This Row],[dist_a_clk]]</calculatedColumnFormula>
    </tableColumn>
    <tableColumn id="9" xr3:uid="{95F7AB66-D7B0-4C6C-BCB3-892B7F645365}" uniqueName="9" name="delta_ns" queryTableFieldId="9" dataDxfId="34">
      <calculatedColumnFormula>averages__6[[#This Row],[delta_clk]]*$G$1*1000000000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8A867D-37B4-48AB-A837-28CBDADD0DDC}" name="averages__7" displayName="averages__7" ref="E54:M59" tableType="queryTable" totalsRowShown="0">
  <autoFilter ref="E54:M59" xr:uid="{3A8A867D-37B4-48AB-A837-28CBDADD0DDC}"/>
  <tableColumns count="9">
    <tableColumn id="1" xr3:uid="{8305AF47-3CF8-439A-BE23-98B27A8069C5}" uniqueName="1" name="Name" queryTableFieldId="1" dataDxfId="33"/>
    <tableColumn id="2" xr3:uid="{39DCA220-9246-4334-A4C2-78C35BB7EBD3}" uniqueName="2" name="RX" queryTableFieldId="2" dataDxfId="32"/>
    <tableColumn id="3" xr3:uid="{EA971E51-F1AF-43AB-B548-0958CC21E7B1}" uniqueName="3" name="FP" queryTableFieldId="3"/>
    <tableColumn id="4" xr3:uid="{D355B241-7E74-4E61-B30D-CE2722796E5D}" uniqueName="4" name="TOF_clk" queryTableFieldId="4" dataDxfId="31"/>
    <tableColumn id="5" xr3:uid="{58980443-12F6-49FE-9255-1C1B5DB24194}" uniqueName="5" name="dist_meass" queryTableFieldId="5" dataDxfId="30"/>
    <tableColumn id="6" xr3:uid="{17811F46-150C-4948-BC1C-6E0E9C20BFB2}" uniqueName="6" name="dist_a_m" queryTableFieldId="6" dataDxfId="29">
      <calculatedColumnFormula>SQRT((POWER($E$53,2)+POWER($B54,2)))</calculatedColumnFormula>
    </tableColumn>
    <tableColumn id="7" xr3:uid="{C0B5514C-FCDF-4134-BFCC-251909282A9D}" uniqueName="7" name="dist_a_clk" queryTableFieldId="7" dataDxfId="28">
      <calculatedColumnFormula>(averages__7[[#This Row],[dist_a_m]]/$D$1)/$G$1</calculatedColumnFormula>
    </tableColumn>
    <tableColumn id="8" xr3:uid="{349DED56-8378-41CB-B71D-094C287D8699}" uniqueName="8" name="delta_clk" queryTableFieldId="8" dataDxfId="27">
      <calculatedColumnFormula>averages__7[[#This Row],[TOF_clk]]-averages__7[[#This Row],[dist_a_clk]]</calculatedColumnFormula>
    </tableColumn>
    <tableColumn id="9" xr3:uid="{F7925E15-8C57-403D-8E67-8DB12F3DC4B7}" uniqueName="9" name="delta_ns" queryTableFieldId="9" dataDxfId="26">
      <calculatedColumnFormula>averages__7[[#This Row],[delta_clk]]*$G$1*1000000000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A22239-BAB6-4E29-9FDA-9EE0332830CA}" name="averages__8" displayName="averages__8" ref="E62:M67" tableType="queryTable" totalsRowShown="0">
  <autoFilter ref="E62:M67" xr:uid="{06A22239-BAB6-4E29-9FDA-9EE0332830CA}"/>
  <tableColumns count="9">
    <tableColumn id="1" xr3:uid="{0002ECE2-9B24-4DBF-B22C-B3E4C5D7793F}" uniqueName="1" name="Name" queryTableFieldId="1" dataDxfId="25"/>
    <tableColumn id="2" xr3:uid="{35956BC3-E9BF-4A55-8AF3-0459E8FE7CE1}" uniqueName="2" name="RX" queryTableFieldId="2" dataDxfId="24"/>
    <tableColumn id="3" xr3:uid="{43269DBC-8775-497A-A166-A76BB1A9544D}" uniqueName="3" name="FP" queryTableFieldId="3"/>
    <tableColumn id="4" xr3:uid="{BF9A1CA8-62CC-47E0-8720-DAC0C79BCDBC}" uniqueName="4" name="TOF_clk" queryTableFieldId="4" dataDxfId="23"/>
    <tableColumn id="5" xr3:uid="{C20B29DF-DDEF-4AD5-B747-916AD86057AD}" uniqueName="5" name="dist_meass" queryTableFieldId="5" dataDxfId="22"/>
    <tableColumn id="6" xr3:uid="{07530216-93CD-4E8D-AC57-F8EFD86DA588}" uniqueName="6" name="dist_a_m" queryTableFieldId="6" dataDxfId="21">
      <calculatedColumnFormula>SQRT((POWER($E$61,2)+POWER($B62,2)))</calculatedColumnFormula>
    </tableColumn>
    <tableColumn id="7" xr3:uid="{60F9616D-32C3-42F6-A303-56F558D0C1D6}" uniqueName="7" name="dist_a_clk" queryTableFieldId="7" dataDxfId="20">
      <calculatedColumnFormula>(averages__8[[#This Row],[dist_a_m]]/$D$1)/$G$1</calculatedColumnFormula>
    </tableColumn>
    <tableColumn id="8" xr3:uid="{1CFB3F67-00E8-4C5B-BDAC-82647CA4EDE1}" uniqueName="8" name="delta_clk" queryTableFieldId="8" dataDxfId="19">
      <calculatedColumnFormula>averages__8[[#This Row],[TOF_clk]]-averages__8[[#This Row],[dist_a_clk]]</calculatedColumnFormula>
    </tableColumn>
    <tableColumn id="9" xr3:uid="{79BA37DD-08E5-46D2-87E8-6C7146C1A0D1}" uniqueName="9" name="delta_ns" queryTableFieldId="9" dataDxfId="18">
      <calculatedColumnFormula>averages__8[[#This Row],[delta_clk]]*$G$1*1000000000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0B159A0-9222-424F-ABBA-868C4F3578CF}" name="averages__9" displayName="averages__9" ref="E70:M75" tableType="queryTable" totalsRowShown="0">
  <autoFilter ref="E70:M75" xr:uid="{70B159A0-9222-424F-ABBA-868C4F3578CF}"/>
  <tableColumns count="9">
    <tableColumn id="1" xr3:uid="{0DED8899-8012-4555-96A3-A9F95C3CB751}" uniqueName="1" name="Name" queryTableFieldId="1" dataDxfId="17"/>
    <tableColumn id="2" xr3:uid="{5EAA6AA6-D32B-416D-BB36-F01247BA75C0}" uniqueName="2" name="RX" queryTableFieldId="2" dataDxfId="16"/>
    <tableColumn id="3" xr3:uid="{BE6C09EA-836A-45B3-A36A-2D54F09E045D}" uniqueName="3" name="FP" queryTableFieldId="3"/>
    <tableColumn id="4" xr3:uid="{514F4C7A-5C1D-4E6B-8FFD-A0377DFC82F2}" uniqueName="4" name="TOF_clk" queryTableFieldId="4" dataDxfId="15"/>
    <tableColumn id="5" xr3:uid="{84930804-9201-465F-B935-3D00BF661DBE}" uniqueName="5" name="dist_meass" queryTableFieldId="5" dataDxfId="14"/>
    <tableColumn id="6" xr3:uid="{4308EACA-EC4F-4771-8AC1-4EE2AF1DAC29}" uniqueName="6" name="dist_a_m" queryTableFieldId="6" dataDxfId="13">
      <calculatedColumnFormula>SQRT((POWER($E$69,2)+POWER($B70,2)))</calculatedColumnFormula>
    </tableColumn>
    <tableColumn id="7" xr3:uid="{7D28837F-B892-4A34-93C1-CE20351ED433}" uniqueName="7" name="dist_a_clk" queryTableFieldId="7" dataDxfId="12">
      <calculatedColumnFormula>(averages__9[[#This Row],[dist_a_m]]/$D$1)/$G$1</calculatedColumnFormula>
    </tableColumn>
    <tableColumn id="8" xr3:uid="{543BE994-756A-4542-B5F5-9D592A5A72F6}" uniqueName="8" name="delta_clk" queryTableFieldId="8" dataDxfId="11">
      <calculatedColumnFormula>averages__9[[#This Row],[TOF_clk]]-averages__9[[#This Row],[dist_a_clk]]</calculatedColumnFormula>
    </tableColumn>
    <tableColumn id="9" xr3:uid="{CC4A92B9-8CA3-475D-A6DB-8870370FAD62}" uniqueName="9" name="delta_ns" queryTableFieldId="9" dataDxfId="10">
      <calculatedColumnFormula>averages__9[[#This Row],[delta_clk]]*$G$1*1000000000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D9C3-C23E-48B2-A931-DD8C3B3DE86C}">
  <dimension ref="A1:M75"/>
  <sheetViews>
    <sheetView topLeftCell="A19" workbookViewId="0">
      <selection activeCell="R54" sqref="R54"/>
    </sheetView>
  </sheetViews>
  <sheetFormatPr defaultRowHeight="15" x14ac:dyDescent="0.25"/>
  <cols>
    <col min="1" max="6" width="10.42578125" customWidth="1"/>
    <col min="8" max="8" width="14.7109375" customWidth="1"/>
    <col min="9" max="9" width="14.85546875" customWidth="1"/>
    <col min="10" max="10" width="14.28515625" customWidth="1"/>
    <col min="11" max="12" width="12.85546875" customWidth="1"/>
    <col min="13" max="13" width="11.5703125" customWidth="1"/>
  </cols>
  <sheetData>
    <row r="1" spans="1:13" x14ac:dyDescent="0.25">
      <c r="C1" t="s">
        <v>15</v>
      </c>
      <c r="D1">
        <v>299702547</v>
      </c>
      <c r="E1" t="s">
        <v>17</v>
      </c>
      <c r="F1" t="s">
        <v>16</v>
      </c>
      <c r="G1" s="2">
        <v>1.5650040064103001E-11</v>
      </c>
      <c r="H1" t="s">
        <v>18</v>
      </c>
    </row>
    <row r="5" spans="1:13" x14ac:dyDescent="0.25">
      <c r="A5" t="s">
        <v>0</v>
      </c>
      <c r="B5" t="s">
        <v>8</v>
      </c>
      <c r="D5">
        <v>1</v>
      </c>
      <c r="E5">
        <v>1.3125</v>
      </c>
      <c r="F5">
        <v>2E-3</v>
      </c>
    </row>
    <row r="6" spans="1:13" x14ac:dyDescent="0.25">
      <c r="A6" t="s">
        <v>3</v>
      </c>
      <c r="B6">
        <v>0.127</v>
      </c>
      <c r="E6" t="s">
        <v>0</v>
      </c>
      <c r="F6" t="s">
        <v>1</v>
      </c>
      <c r="G6" t="s">
        <v>2</v>
      </c>
      <c r="H6" t="s">
        <v>10</v>
      </c>
      <c r="I6" t="s">
        <v>9</v>
      </c>
      <c r="J6" t="s">
        <v>13</v>
      </c>
      <c r="K6" t="s">
        <v>14</v>
      </c>
      <c r="L6" t="s">
        <v>11</v>
      </c>
      <c r="M6" t="s">
        <v>12</v>
      </c>
    </row>
    <row r="7" spans="1:13" x14ac:dyDescent="0.25">
      <c r="A7" t="s">
        <v>4</v>
      </c>
      <c r="B7">
        <v>0.128</v>
      </c>
      <c r="E7" t="s">
        <v>3</v>
      </c>
      <c r="F7">
        <v>-81.22</v>
      </c>
      <c r="G7">
        <v>-91.754999999999995</v>
      </c>
      <c r="H7" s="1">
        <v>33102.907098380922</v>
      </c>
      <c r="I7" s="1">
        <v>155.2644476551454</v>
      </c>
      <c r="J7" s="1">
        <f>SQRT((POWER($E$5,2)+POWER($B6,2)))</f>
        <v>1.3186300656363028</v>
      </c>
      <c r="K7" s="1">
        <f>(averages__1[[#This Row],[dist_a_m]]/$D$1)/$G$1</f>
        <v>281.13640449642179</v>
      </c>
      <c r="L7" s="1">
        <f>averages__1[[#This Row],[TOF_clk]]-averages__1[[#This Row],[dist_a_clk]]</f>
        <v>32821.7706938845</v>
      </c>
      <c r="M7" s="1">
        <f>averages__1[[#This Row],[delta_clk]]*$G$1*1000000000</f>
        <v>513.66202633409421</v>
      </c>
    </row>
    <row r="8" spans="1:13" x14ac:dyDescent="0.25">
      <c r="A8" t="s">
        <v>5</v>
      </c>
      <c r="B8">
        <v>0.13900000000000001</v>
      </c>
      <c r="E8" t="s">
        <v>4</v>
      </c>
      <c r="F8">
        <v>-82.46</v>
      </c>
      <c r="G8">
        <v>-91.81</v>
      </c>
      <c r="H8" s="1">
        <v>33124.466487259357</v>
      </c>
      <c r="I8" s="1">
        <v>155.36556888283832</v>
      </c>
      <c r="J8" s="1">
        <f>SQRT((POWER($E$5,2)+POWER($B7,2)))</f>
        <v>1.3187267533496088</v>
      </c>
      <c r="K8" s="1">
        <f>(averages__1[[#This Row],[dist_a_m]]/$D$1)/$G$1</f>
        <v>281.15701864498868</v>
      </c>
      <c r="L8" s="1">
        <f>averages__1[[#This Row],[TOF_clk]]-averages__1[[#This Row],[dist_a_clk]]</f>
        <v>32843.309468614367</v>
      </c>
      <c r="M8" s="1">
        <f>averages__1[[#This Row],[delta_clk]]*$G$1*1000000000</f>
        <v>513.99910902154829</v>
      </c>
    </row>
    <row r="9" spans="1:13" x14ac:dyDescent="0.25">
      <c r="A9" t="s">
        <v>6</v>
      </c>
      <c r="B9">
        <v>0.14099999999999999</v>
      </c>
      <c r="E9" t="s">
        <v>5</v>
      </c>
      <c r="F9">
        <v>-81.739999999999995</v>
      </c>
      <c r="G9">
        <v>-91.6</v>
      </c>
      <c r="H9" s="1">
        <v>33102.799483667739</v>
      </c>
      <c r="I9" s="1">
        <v>155.26394290373634</v>
      </c>
      <c r="J9" s="1">
        <f>SQRT((POWER($E$5,2)+POWER($B8,2)))</f>
        <v>1.3198398577100177</v>
      </c>
      <c r="K9" s="1">
        <f>(averages__1[[#This Row],[dist_a_m]]/$D$1)/$G$1</f>
        <v>281.39433627172104</v>
      </c>
      <c r="L9" s="1">
        <f>averages__1[[#This Row],[TOF_clk]]-averages__1[[#This Row],[dist_a_clk]]</f>
        <v>32821.405147396021</v>
      </c>
      <c r="M9" s="1">
        <f>averages__1[[#This Row],[delta_clk]]*$G$1*1000000000</f>
        <v>513.65630551690413</v>
      </c>
    </row>
    <row r="10" spans="1:13" x14ac:dyDescent="0.25">
      <c r="A10" t="s">
        <v>7</v>
      </c>
      <c r="B10">
        <v>0.124</v>
      </c>
      <c r="E10" t="s">
        <v>6</v>
      </c>
      <c r="F10">
        <v>-80.88</v>
      </c>
      <c r="G10">
        <v>-92.01</v>
      </c>
      <c r="H10" s="1">
        <v>33108.739641372653</v>
      </c>
      <c r="I10" s="1">
        <v>155.29180436322378</v>
      </c>
      <c r="J10" s="1">
        <f>SQRT((POWER($E$5,2)+POWER($B9,2)))</f>
        <v>1.3200519876126091</v>
      </c>
      <c r="K10" s="1">
        <f>(averages__1[[#This Row],[dist_a_m]]/$D$1)/$G$1</f>
        <v>281.43956308677315</v>
      </c>
      <c r="L10" s="1">
        <f>averages__1[[#This Row],[TOF_clk]]-averages__1[[#This Row],[dist_a_clk]]</f>
        <v>32827.30007828588</v>
      </c>
      <c r="M10" s="1">
        <f>averages__1[[#This Row],[delta_clk]]*$G$1*1000000000</f>
        <v>513.74856142150566</v>
      </c>
    </row>
    <row r="11" spans="1:13" x14ac:dyDescent="0.25">
      <c r="E11" t="s">
        <v>7</v>
      </c>
      <c r="F11">
        <v>-81.585000000000008</v>
      </c>
      <c r="G11">
        <v>-91.72</v>
      </c>
      <c r="H11" s="1">
        <v>33085.905392341156</v>
      </c>
      <c r="I11" s="1">
        <v>155.18470358645641</v>
      </c>
      <c r="J11" s="1">
        <f>SQRT((POWER($E$5,2)+POWER($B10,2)))</f>
        <v>1.3183445111199121</v>
      </c>
      <c r="K11" s="1">
        <f>(averages__1[[#This Row],[dist_a_m]]/$D$1)/$G$1</f>
        <v>281.07552330455621</v>
      </c>
      <c r="L11" s="1">
        <f>averages__1[[#This Row],[TOF_clk]]-averages__1[[#This Row],[dist_a_clk]]</f>
        <v>32804.829869036599</v>
      </c>
      <c r="M11" s="1">
        <f>averages__1[[#This Row],[delta_clk]]*$G$1*1000000000</f>
        <v>513.39690174650559</v>
      </c>
    </row>
    <row r="12" spans="1:13" x14ac:dyDescent="0.25">
      <c r="H12" s="1"/>
      <c r="I12" s="1"/>
      <c r="J12" s="1"/>
    </row>
    <row r="13" spans="1:13" x14ac:dyDescent="0.25">
      <c r="A13" t="s">
        <v>0</v>
      </c>
      <c r="B13" t="s">
        <v>8</v>
      </c>
      <c r="D13">
        <v>2</v>
      </c>
      <c r="E13">
        <v>4.4284999999999997</v>
      </c>
      <c r="F13">
        <v>2E-3</v>
      </c>
      <c r="H13" s="1"/>
      <c r="I13" s="1"/>
      <c r="J13" s="1"/>
    </row>
    <row r="14" spans="1:13" x14ac:dyDescent="0.25">
      <c r="A14" t="s">
        <v>3</v>
      </c>
      <c r="B14">
        <v>0.127</v>
      </c>
      <c r="E14" t="s">
        <v>0</v>
      </c>
      <c r="F14" t="s">
        <v>1</v>
      </c>
      <c r="G14" t="s">
        <v>2</v>
      </c>
      <c r="H14" s="1" t="s">
        <v>10</v>
      </c>
      <c r="I14" s="1" t="s">
        <v>9</v>
      </c>
      <c r="J14" s="1" t="s">
        <v>13</v>
      </c>
      <c r="K14" t="s">
        <v>14</v>
      </c>
      <c r="L14" t="s">
        <v>11</v>
      </c>
      <c r="M14" t="s">
        <v>12</v>
      </c>
    </row>
    <row r="15" spans="1:13" x14ac:dyDescent="0.25">
      <c r="A15" t="s">
        <v>4</v>
      </c>
      <c r="B15">
        <v>0.128</v>
      </c>
      <c r="E15" t="s">
        <v>3</v>
      </c>
      <c r="F15">
        <v>-84.27000000000001</v>
      </c>
      <c r="G15">
        <v>-94.64500000000001</v>
      </c>
      <c r="H15" s="1">
        <v>33778.410789746253</v>
      </c>
      <c r="I15" s="1">
        <v>158.43280103320805</v>
      </c>
      <c r="J15" s="1">
        <f>SQRT((POWER($E$13,2)+POWER($B14,2)))</f>
        <v>4.4303206712381433</v>
      </c>
      <c r="K15" s="1">
        <f>(averages__2[[#This Row],[dist_a_m]]/$D$1)/$G$1</f>
        <v>944.55940049951755</v>
      </c>
      <c r="L15" s="1">
        <f>averages__2[[#This Row],[TOF_clk]]-averages__2[[#This Row],[dist_a_clk]]</f>
        <v>32833.851389246738</v>
      </c>
      <c r="M15" s="1">
        <f>averages__2[[#This Row],[delta_clk]]*$G$1*1000000000</f>
        <v>513.85108970051544</v>
      </c>
    </row>
    <row r="16" spans="1:13" x14ac:dyDescent="0.25">
      <c r="A16" t="s">
        <v>5</v>
      </c>
      <c r="B16">
        <v>0.13900000000000001</v>
      </c>
      <c r="E16" t="s">
        <v>4</v>
      </c>
      <c r="F16">
        <v>-83.51</v>
      </c>
      <c r="G16">
        <v>-91.754999999999995</v>
      </c>
      <c r="H16" s="1">
        <v>33814.804728369112</v>
      </c>
      <c r="I16" s="1">
        <v>158.60350159317639</v>
      </c>
      <c r="J16" s="1">
        <f>SQRT((POWER($E$13,2)+POWER($B15,2)))</f>
        <v>4.4303494500998442</v>
      </c>
      <c r="K16" s="1">
        <f>(averages__2[[#This Row],[dist_a_m]]/$D$1)/$G$1</f>
        <v>944.56553625048741</v>
      </c>
      <c r="L16" s="1">
        <f>averages__2[[#This Row],[TOF_clk]]-averages__2[[#This Row],[dist_a_clk]]</f>
        <v>32870.239192118628</v>
      </c>
      <c r="M16" s="1">
        <f>averages__2[[#This Row],[delta_clk]]*$G$1*1000000000</f>
        <v>514.42056027330523</v>
      </c>
    </row>
    <row r="17" spans="1:13" x14ac:dyDescent="0.25">
      <c r="A17" t="s">
        <v>6</v>
      </c>
      <c r="B17">
        <v>0.14099999999999999</v>
      </c>
      <c r="E17" t="s">
        <v>5</v>
      </c>
      <c r="F17">
        <v>-83.06</v>
      </c>
      <c r="G17">
        <v>-91.814999999999998</v>
      </c>
      <c r="H17" s="1">
        <v>33791.885849621045</v>
      </c>
      <c r="I17" s="1">
        <v>158.4960038728367</v>
      </c>
      <c r="J17" s="1">
        <f>SQRT((POWER($E$13,2)+POWER($B16,2)))</f>
        <v>4.4306809013965331</v>
      </c>
      <c r="K17" s="1">
        <f>(averages__2[[#This Row],[dist_a_m]]/$D$1)/$G$1</f>
        <v>944.636202791654</v>
      </c>
      <c r="L17" s="1">
        <f>averages__2[[#This Row],[TOF_clk]]-averages__2[[#This Row],[dist_a_clk]]</f>
        <v>32847.24964682939</v>
      </c>
      <c r="M17" s="1">
        <f>averages__2[[#This Row],[delta_clk]]*$G$1*1000000000</f>
        <v>514.06077296847309</v>
      </c>
    </row>
    <row r="18" spans="1:13" x14ac:dyDescent="0.25">
      <c r="A18" t="s">
        <v>7</v>
      </c>
      <c r="B18">
        <v>0.124</v>
      </c>
      <c r="E18" t="s">
        <v>6</v>
      </c>
      <c r="F18">
        <v>-82.435000000000002</v>
      </c>
      <c r="G18">
        <v>-91.824999999999989</v>
      </c>
      <c r="H18" s="1">
        <v>33834.847861714923</v>
      </c>
      <c r="I18" s="1">
        <v>158.69751104131845</v>
      </c>
      <c r="J18" s="1">
        <f>SQRT((POWER($E$13,2)+POWER($B17,2)))</f>
        <v>4.4307440966501321</v>
      </c>
      <c r="K18" s="1">
        <f>(averages__2[[#This Row],[dist_a_m]]/$D$1)/$G$1</f>
        <v>944.64967623416157</v>
      </c>
      <c r="L18" s="1">
        <f>averages__2[[#This Row],[TOF_clk]]-averages__2[[#This Row],[dist_a_clk]]</f>
        <v>32890.19818548076</v>
      </c>
      <c r="M18" s="1">
        <f>averages__2[[#This Row],[delta_clk]]*$G$1*1000000000</f>
        <v>514.73291931906181</v>
      </c>
    </row>
    <row r="19" spans="1:13" x14ac:dyDescent="0.25">
      <c r="E19" t="s">
        <v>7</v>
      </c>
      <c r="F19">
        <v>-82.81</v>
      </c>
      <c r="G19">
        <v>-91.83</v>
      </c>
      <c r="H19" s="1">
        <v>33807.687186154108</v>
      </c>
      <c r="I19" s="1">
        <v>158.57011778016596</v>
      </c>
      <c r="J19" s="1">
        <f>SQRT((POWER($E$13,2)+POWER($B18,2)))</f>
        <v>4.4302356878613125</v>
      </c>
      <c r="K19" s="1">
        <f>(averages__2[[#This Row],[dist_a_m]]/$D$1)/$G$1</f>
        <v>944.5412817552035</v>
      </c>
      <c r="L19" s="1">
        <f>averages__2[[#This Row],[TOF_clk]]-averages__2[[#This Row],[dist_a_clk]]</f>
        <v>32863.145904398902</v>
      </c>
      <c r="M19" s="1">
        <f>averages__2[[#This Row],[delta_clk]]*$G$1*1000000000</f>
        <v>514.30955003630527</v>
      </c>
    </row>
    <row r="20" spans="1:13" x14ac:dyDescent="0.25">
      <c r="H20" s="1"/>
      <c r="I20" s="1"/>
      <c r="J20" s="1"/>
    </row>
    <row r="21" spans="1:13" x14ac:dyDescent="0.25">
      <c r="A21" t="s">
        <v>0</v>
      </c>
      <c r="B21" t="s">
        <v>8</v>
      </c>
      <c r="D21">
        <v>3</v>
      </c>
      <c r="E21">
        <v>6.5940000000000003</v>
      </c>
      <c r="F21">
        <v>2E-3</v>
      </c>
      <c r="H21" s="1"/>
      <c r="I21" s="1"/>
      <c r="J21" s="1"/>
    </row>
    <row r="22" spans="1:13" x14ac:dyDescent="0.25">
      <c r="A22" t="s">
        <v>3</v>
      </c>
      <c r="B22">
        <v>0.127</v>
      </c>
      <c r="E22" t="s">
        <v>0</v>
      </c>
      <c r="F22" t="s">
        <v>1</v>
      </c>
      <c r="G22" t="s">
        <v>2</v>
      </c>
      <c r="H22" s="1" t="s">
        <v>10</v>
      </c>
      <c r="I22" s="1" t="s">
        <v>9</v>
      </c>
      <c r="J22" s="1" t="s">
        <v>13</v>
      </c>
      <c r="K22" t="s">
        <v>14</v>
      </c>
      <c r="L22" t="s">
        <v>11</v>
      </c>
      <c r="M22" t="s">
        <v>12</v>
      </c>
    </row>
    <row r="23" spans="1:13" x14ac:dyDescent="0.25">
      <c r="A23" t="s">
        <v>4</v>
      </c>
      <c r="B23">
        <v>0.128</v>
      </c>
      <c r="E23" t="s">
        <v>3</v>
      </c>
      <c r="F23">
        <v>-83.86</v>
      </c>
      <c r="G23">
        <v>-91.8</v>
      </c>
      <c r="H23" s="1">
        <v>34250.401499199077</v>
      </c>
      <c r="I23" s="1">
        <v>160.64660589885801</v>
      </c>
      <c r="J23" s="1">
        <f>SQRT((POWER($E$21,2)+POWER($B22,2)))</f>
        <v>6.5952228923668681</v>
      </c>
      <c r="K23" s="1">
        <f>(averages__3[[#This Row],[dist_a_m]]/$D$1)/$G$1</f>
        <v>1406.1239001992512</v>
      </c>
      <c r="L23" s="1">
        <f>averages__3[[#This Row],[TOF_clk]]-averages__3[[#This Row],[dist_a_clk]]</f>
        <v>32844.277598999826</v>
      </c>
      <c r="M23" s="1">
        <f>averages__3[[#This Row],[delta_clk]]*$G$1*1000000000</f>
        <v>514.01426030086805</v>
      </c>
    </row>
    <row r="24" spans="1:13" x14ac:dyDescent="0.25">
      <c r="A24" t="s">
        <v>5</v>
      </c>
      <c r="B24">
        <v>0.13900000000000001</v>
      </c>
      <c r="E24" t="s">
        <v>4</v>
      </c>
      <c r="F24">
        <v>-84.67</v>
      </c>
      <c r="G24">
        <v>-91.93</v>
      </c>
      <c r="H24" s="1">
        <v>34292.401554739285</v>
      </c>
      <c r="I24" s="1">
        <v>160.84360114781163</v>
      </c>
      <c r="J24" s="1">
        <f>SQRT((POWER($E$21,2)+POWER($B23,2)))</f>
        <v>6.5952422245130622</v>
      </c>
      <c r="K24" s="1">
        <f>(averages__3[[#This Row],[dist_a_m]]/$D$1)/$G$1</f>
        <v>1406.1280218784198</v>
      </c>
      <c r="L24" s="1">
        <f>averages__3[[#This Row],[TOF_clk]]-averages__3[[#This Row],[dist_a_clk]]</f>
        <v>32886.273532860861</v>
      </c>
      <c r="M24" s="1">
        <f>averages__3[[#This Row],[delta_clk]]*$G$1*1000000000</f>
        <v>514.67149834832253</v>
      </c>
    </row>
    <row r="25" spans="1:13" x14ac:dyDescent="0.25">
      <c r="A25" t="s">
        <v>6</v>
      </c>
      <c r="B25">
        <v>0.14099999999999999</v>
      </c>
      <c r="E25" t="s">
        <v>5</v>
      </c>
      <c r="F25">
        <v>-83.51</v>
      </c>
      <c r="G25">
        <v>-91.77</v>
      </c>
      <c r="H25" s="1">
        <v>34252.225582433937</v>
      </c>
      <c r="I25" s="1">
        <v>160.65516150018615</v>
      </c>
      <c r="J25" s="1">
        <f>SQRT((POWER($E$21,2)+POWER($B24,2)))</f>
        <v>6.5954648812650047</v>
      </c>
      <c r="K25" s="1">
        <f>(averages__3[[#This Row],[dist_a_m]]/$D$1)/$G$1</f>
        <v>1406.1754930534742</v>
      </c>
      <c r="L25" s="1">
        <f>averages__3[[#This Row],[TOF_clk]]-averages__3[[#This Row],[dist_a_clk]]</f>
        <v>32846.050089380464</v>
      </c>
      <c r="M25" s="1">
        <f>averages__3[[#This Row],[delta_clk]]*$G$1*1000000000</f>
        <v>514.04199984633829</v>
      </c>
    </row>
    <row r="26" spans="1:13" x14ac:dyDescent="0.25">
      <c r="A26" t="s">
        <v>7</v>
      </c>
      <c r="B26">
        <v>0.124</v>
      </c>
      <c r="E26" t="s">
        <v>6</v>
      </c>
      <c r="F26">
        <v>-84.46</v>
      </c>
      <c r="G26">
        <v>-92.164999999999992</v>
      </c>
      <c r="H26" s="1">
        <v>34344.371013170618</v>
      </c>
      <c r="I26" s="1">
        <v>161.08735645408424</v>
      </c>
      <c r="J26" s="1">
        <f>SQRT((POWER($E$21,2)+POWER($B25,2)))</f>
        <v>6.5955073345422033</v>
      </c>
      <c r="K26" s="1">
        <f>(averages__3[[#This Row],[dist_a_m]]/$D$1)/$G$1</f>
        <v>1406.1845442362294</v>
      </c>
      <c r="L26" s="1">
        <f>averages__3[[#This Row],[TOF_clk]]-averages__3[[#This Row],[dist_a_clk]]</f>
        <v>32938.186468934386</v>
      </c>
      <c r="M26" s="1">
        <f>averages__3[[#This Row],[delta_clk]]*$G$1*1000000000</f>
        <v>515.4839378777184</v>
      </c>
    </row>
    <row r="27" spans="1:13" x14ac:dyDescent="0.25">
      <c r="E27" t="s">
        <v>7</v>
      </c>
      <c r="F27">
        <v>-85.094999999999999</v>
      </c>
      <c r="G27">
        <v>-92.265000000000001</v>
      </c>
      <c r="H27" s="1">
        <v>34258.24994722422</v>
      </c>
      <c r="I27" s="1">
        <v>160.68341792095478</v>
      </c>
      <c r="J27" s="1">
        <f>SQRT((POWER($E$21,2)+POWER($B26,2)))</f>
        <v>6.5951658053456095</v>
      </c>
      <c r="K27" s="1">
        <f>(averages__3[[#This Row],[dist_a_m]]/$D$1)/$G$1</f>
        <v>1406.1117290526058</v>
      </c>
      <c r="L27" s="1">
        <f>averages__3[[#This Row],[TOF_clk]]-averages__3[[#This Row],[dist_a_clk]]</f>
        <v>32852.138218171611</v>
      </c>
      <c r="M27" s="1">
        <f>averages__3[[#This Row],[delta_clk]]*$G$1*1000000000</f>
        <v>514.13727930583514</v>
      </c>
    </row>
    <row r="28" spans="1:13" x14ac:dyDescent="0.25">
      <c r="H28" s="1"/>
      <c r="I28" s="1"/>
      <c r="J28" s="1"/>
    </row>
    <row r="29" spans="1:13" x14ac:dyDescent="0.25">
      <c r="A29" t="s">
        <v>0</v>
      </c>
      <c r="B29" t="s">
        <v>8</v>
      </c>
      <c r="D29">
        <v>4</v>
      </c>
      <c r="E29">
        <v>15.526</v>
      </c>
      <c r="F29">
        <v>2E-3</v>
      </c>
      <c r="H29" s="1"/>
      <c r="I29" s="1"/>
      <c r="J29" s="1"/>
    </row>
    <row r="30" spans="1:13" x14ac:dyDescent="0.25">
      <c r="A30" t="s">
        <v>3</v>
      </c>
      <c r="B30">
        <v>0.127</v>
      </c>
      <c r="E30" t="s">
        <v>0</v>
      </c>
      <c r="F30" t="s">
        <v>1</v>
      </c>
      <c r="G30" t="s">
        <v>2</v>
      </c>
      <c r="H30" s="1" t="s">
        <v>10</v>
      </c>
      <c r="I30" s="1" t="s">
        <v>9</v>
      </c>
      <c r="J30" s="1" t="s">
        <v>13</v>
      </c>
      <c r="K30" t="s">
        <v>14</v>
      </c>
      <c r="L30" t="s">
        <v>11</v>
      </c>
      <c r="M30" t="s">
        <v>12</v>
      </c>
    </row>
    <row r="31" spans="1:13" x14ac:dyDescent="0.25">
      <c r="A31" t="s">
        <v>4</v>
      </c>
      <c r="B31">
        <v>0.128</v>
      </c>
      <c r="E31" t="s">
        <v>3</v>
      </c>
      <c r="F31">
        <v>-88.54</v>
      </c>
      <c r="G31">
        <v>-96.78</v>
      </c>
      <c r="H31" s="1">
        <v>36185.52835448923</v>
      </c>
      <c r="I31" s="1">
        <v>169.72304143475566</v>
      </c>
      <c r="J31" s="1">
        <f>SQRT((POWER($E$29,2)+POWER($B30,2)))</f>
        <v>15.526519410350796</v>
      </c>
      <c r="K31" s="1">
        <f>(averages__4[[#This Row],[dist_a_m]]/$D$1)/$G$1</f>
        <v>3310.3066243704743</v>
      </c>
      <c r="L31" s="1">
        <f>averages__4[[#This Row],[TOF_clk]]-averages__4[[#This Row],[dist_a_clk]]</f>
        <v>32875.221730118756</v>
      </c>
      <c r="M31" s="1">
        <f>averages__4[[#This Row],[delta_clk]]*$G$1*1000000000</f>
        <v>514.49853719262808</v>
      </c>
    </row>
    <row r="32" spans="1:13" x14ac:dyDescent="0.25">
      <c r="A32" t="s">
        <v>5</v>
      </c>
      <c r="B32">
        <v>0.13900000000000001</v>
      </c>
      <c r="E32" t="s">
        <v>4</v>
      </c>
      <c r="F32">
        <v>-88.67</v>
      </c>
      <c r="G32">
        <v>-92.98</v>
      </c>
      <c r="H32" s="1">
        <v>36219.871890467679</v>
      </c>
      <c r="I32" s="1">
        <v>169.88412487459891</v>
      </c>
      <c r="J32" s="1">
        <f>SQRT((POWER($E$29,2)+POWER($B31,2)))</f>
        <v>15.526527622105336</v>
      </c>
      <c r="K32" s="1">
        <f>(averages__4[[#This Row],[dist_a_m]]/$D$1)/$G$1</f>
        <v>3310.3083751444069</v>
      </c>
      <c r="L32" s="1">
        <f>averages__4[[#This Row],[TOF_clk]]-averages__4[[#This Row],[dist_a_clk]]</f>
        <v>32909.563515323272</v>
      </c>
      <c r="M32" s="1">
        <f>averages__4[[#This Row],[delta_clk]]*$G$1*1000000000</f>
        <v>515.03598750695164</v>
      </c>
    </row>
    <row r="33" spans="1:13" x14ac:dyDescent="0.25">
      <c r="A33" t="s">
        <v>6</v>
      </c>
      <c r="B33">
        <v>0.14099999999999999</v>
      </c>
      <c r="E33" t="s">
        <v>5</v>
      </c>
      <c r="F33">
        <v>-85.97</v>
      </c>
      <c r="G33">
        <v>-92.32</v>
      </c>
      <c r="H33" s="1">
        <v>36191.263524182548</v>
      </c>
      <c r="I33" s="1">
        <v>169.74994142731509</v>
      </c>
      <c r="J33" s="1">
        <f>SQRT((POWER($E$29,2)+POWER($B32,2)))</f>
        <v>15.526622201882804</v>
      </c>
      <c r="K33" s="1">
        <f>(averages__4[[#This Row],[dist_a_m]]/$D$1)/$G$1</f>
        <v>3310.3285398739004</v>
      </c>
      <c r="L33" s="1">
        <f>averages__4[[#This Row],[TOF_clk]]-averages__4[[#This Row],[dist_a_clk]]</f>
        <v>32880.934984308646</v>
      </c>
      <c r="M33" s="1">
        <f>averages__4[[#This Row],[delta_clk]]*$G$1*1000000000</f>
        <v>514.58794984959627</v>
      </c>
    </row>
    <row r="34" spans="1:13" x14ac:dyDescent="0.25">
      <c r="A34" t="s">
        <v>7</v>
      </c>
      <c r="B34">
        <v>0.124</v>
      </c>
      <c r="E34" t="s">
        <v>6</v>
      </c>
      <c r="F34">
        <v>-82.42</v>
      </c>
      <c r="G34">
        <v>-92.4</v>
      </c>
      <c r="H34" s="1">
        <v>36224.96832082019</v>
      </c>
      <c r="I34" s="1">
        <v>169.90802895170441</v>
      </c>
      <c r="J34" s="1">
        <f>SQRT((POWER($E$29,2)+POWER($B33,2)))</f>
        <v>15.526640235414742</v>
      </c>
      <c r="K34" s="1">
        <f>(averages__4[[#This Row],[dist_a_m]]/$D$1)/$G$1</f>
        <v>3310.3323846841026</v>
      </c>
      <c r="L34" s="1">
        <f>averages__4[[#This Row],[TOF_clk]]-averages__4[[#This Row],[dist_a_clk]]</f>
        <v>32914.635936136088</v>
      </c>
      <c r="M34" s="1">
        <f>averages__4[[#This Row],[delta_clk]]*$G$1*1000000000</f>
        <v>515.11537109589415</v>
      </c>
    </row>
    <row r="35" spans="1:13" x14ac:dyDescent="0.25">
      <c r="E35" t="s">
        <v>7</v>
      </c>
      <c r="F35">
        <v>-87.17</v>
      </c>
      <c r="G35">
        <v>-93.914999999999992</v>
      </c>
      <c r="H35" s="1">
        <v>36202.382124461059</v>
      </c>
      <c r="I35" s="1">
        <v>169.80209163049244</v>
      </c>
      <c r="J35" s="1">
        <f>SQRT((POWER($E$29,2)+POWER($B34,2)))</f>
        <v>15.52649516149733</v>
      </c>
      <c r="K35" s="1">
        <f>(averages__4[[#This Row],[dist_a_m]]/$D$1)/$G$1</f>
        <v>3310.3014544326315</v>
      </c>
      <c r="L35" s="1">
        <f>averages__4[[#This Row],[TOF_clk]]-averages__4[[#This Row],[dist_a_clk]]</f>
        <v>32892.08067002843</v>
      </c>
      <c r="M35" s="1">
        <f>averages__4[[#This Row],[delta_clk]]*$G$1*1000000000</f>
        <v>514.76238027765282</v>
      </c>
    </row>
    <row r="36" spans="1:13" x14ac:dyDescent="0.25">
      <c r="H36" s="1"/>
      <c r="I36" s="1"/>
      <c r="J36" s="1"/>
    </row>
    <row r="37" spans="1:13" x14ac:dyDescent="0.25">
      <c r="A37" t="s">
        <v>0</v>
      </c>
      <c r="B37" t="s">
        <v>8</v>
      </c>
      <c r="D37">
        <v>5</v>
      </c>
      <c r="E37">
        <v>25.227</v>
      </c>
      <c r="F37">
        <v>2E-3</v>
      </c>
      <c r="H37" s="1"/>
      <c r="I37" s="1"/>
      <c r="J37" s="1"/>
    </row>
    <row r="38" spans="1:13" x14ac:dyDescent="0.25">
      <c r="A38" t="s">
        <v>3</v>
      </c>
      <c r="B38">
        <v>0.127</v>
      </c>
      <c r="E38" t="s">
        <v>0</v>
      </c>
      <c r="F38" t="s">
        <v>1</v>
      </c>
      <c r="G38" t="s">
        <v>2</v>
      </c>
      <c r="H38" s="1" t="s">
        <v>10</v>
      </c>
      <c r="I38" s="1" t="s">
        <v>9</v>
      </c>
      <c r="J38" s="1" t="s">
        <v>13</v>
      </c>
      <c r="K38" t="s">
        <v>14</v>
      </c>
      <c r="L38" t="s">
        <v>11</v>
      </c>
      <c r="M38" t="s">
        <v>12</v>
      </c>
    </row>
    <row r="39" spans="1:13" x14ac:dyDescent="0.25">
      <c r="A39" t="s">
        <v>4</v>
      </c>
      <c r="B39">
        <v>0.128</v>
      </c>
      <c r="E39" t="s">
        <v>3</v>
      </c>
      <c r="F39">
        <v>-84.484999999999999</v>
      </c>
      <c r="G39">
        <v>-91.68</v>
      </c>
      <c r="H39" s="1">
        <v>38225.029607678975</v>
      </c>
      <c r="I39" s="1">
        <v>179.28903014467085</v>
      </c>
      <c r="J39" s="1">
        <f>SQRT((POWER($E$37,2)+POWER($B38,2)))</f>
        <v>25.22731967530439</v>
      </c>
      <c r="K39" s="1">
        <f>(averages__5[[#This Row],[dist_a_m]]/$D$1)/$G$1</f>
        <v>5378.550158549986</v>
      </c>
      <c r="L39" s="1">
        <f>averages__5[[#This Row],[TOF_clk]]-averages__5[[#This Row],[dist_a_clk]]</f>
        <v>32846.479449128987</v>
      </c>
      <c r="M39" s="1">
        <f>averages__5[[#This Row],[delta_clk]]*$G$1*1000000000</f>
        <v>514.04871934360449</v>
      </c>
    </row>
    <row r="40" spans="1:13" x14ac:dyDescent="0.25">
      <c r="A40" t="s">
        <v>5</v>
      </c>
      <c r="B40">
        <v>0.13900000000000001</v>
      </c>
      <c r="E40" t="s">
        <v>4</v>
      </c>
      <c r="F40">
        <v>-86.76</v>
      </c>
      <c r="G40">
        <v>-92.03</v>
      </c>
      <c r="H40" s="1">
        <v>38272.648097387762</v>
      </c>
      <c r="I40" s="1">
        <v>179.51237785491372</v>
      </c>
      <c r="J40" s="1">
        <f>SQRT((POWER($E$37,2)+POWER($B39,2)))</f>
        <v>25.227324729348531</v>
      </c>
      <c r="K40" s="1">
        <f>(averages__5[[#This Row],[dist_a_m]]/$D$1)/$G$1</f>
        <v>5378.5512360893472</v>
      </c>
      <c r="L40" s="1">
        <f>averages__5[[#This Row],[TOF_clk]]-averages__5[[#This Row],[dist_a_clk]]</f>
        <v>32894.096861298414</v>
      </c>
      <c r="M40" s="1">
        <f>averages__5[[#This Row],[delta_clk]]*$G$1*1000000000</f>
        <v>514.79393375180496</v>
      </c>
    </row>
    <row r="41" spans="1:13" x14ac:dyDescent="0.25">
      <c r="A41" t="s">
        <v>6</v>
      </c>
      <c r="B41">
        <v>0.14099999999999999</v>
      </c>
      <c r="E41" t="s">
        <v>5</v>
      </c>
      <c r="F41">
        <v>-83.53</v>
      </c>
      <c r="G41">
        <v>-91.67</v>
      </c>
      <c r="H41" s="1">
        <v>38259.435946946251</v>
      </c>
      <c r="I41" s="1">
        <v>179.45040815435112</v>
      </c>
      <c r="J41" s="1">
        <f>SQRT((POWER($E$37,2)+POWER($B40,2)))</f>
        <v>25.227382939972191</v>
      </c>
      <c r="K41" s="1">
        <f>(averages__5[[#This Row],[dist_a_m]]/$D$1)/$G$1</f>
        <v>5378.5636467918375</v>
      </c>
      <c r="L41" s="1">
        <f>averages__5[[#This Row],[TOF_clk]]-averages__5[[#This Row],[dist_a_clk]]</f>
        <v>32880.872300154413</v>
      </c>
      <c r="M41" s="1">
        <f>averages__5[[#This Row],[delta_clk]]*$G$1*1000000000</f>
        <v>514.58696884007111</v>
      </c>
    </row>
    <row r="42" spans="1:13" x14ac:dyDescent="0.25">
      <c r="A42" t="s">
        <v>7</v>
      </c>
      <c r="B42">
        <v>0.124</v>
      </c>
      <c r="E42" t="s">
        <v>6</v>
      </c>
      <c r="F42">
        <v>-84.91</v>
      </c>
      <c r="G42">
        <v>-91.84</v>
      </c>
      <c r="H42" s="1">
        <v>38239.940547557235</v>
      </c>
      <c r="I42" s="1">
        <v>179.35896777393515</v>
      </c>
      <c r="J42" s="1">
        <f>SQRT((POWER($E$37,2)+POWER($B41,2)))</f>
        <v>25.227394039020361</v>
      </c>
      <c r="K42" s="1">
        <f>(averages__5[[#This Row],[dist_a_m]]/$D$1)/$G$1</f>
        <v>5378.5660131465702</v>
      </c>
      <c r="L42" s="1">
        <f>averages__5[[#This Row],[TOF_clk]]-averages__5[[#This Row],[dist_a_clk]]</f>
        <v>32861.374534410665</v>
      </c>
      <c r="M42" s="1">
        <f>averages__5[[#This Row],[delta_clk]]*$G$1*1000000000</f>
        <v>514.28182802502101</v>
      </c>
    </row>
    <row r="43" spans="1:13" x14ac:dyDescent="0.25">
      <c r="E43" t="s">
        <v>7</v>
      </c>
      <c r="F43">
        <v>-86.82</v>
      </c>
      <c r="G43">
        <v>-99.97</v>
      </c>
      <c r="H43" s="1">
        <v>38226.094484418289</v>
      </c>
      <c r="I43" s="1">
        <v>179.29402479659848</v>
      </c>
      <c r="J43" s="1">
        <f>SQRT((POWER($E$37,2)+POWER($B42,2)))</f>
        <v>25.227304751003423</v>
      </c>
      <c r="K43" s="1">
        <f>(averages__5[[#This Row],[dist_a_m]]/$D$1)/$G$1</f>
        <v>5378.5469766383776</v>
      </c>
      <c r="L43" s="1">
        <f>averages__5[[#This Row],[TOF_clk]]-averages__5[[#This Row],[dist_a_clk]]</f>
        <v>32847.547507779913</v>
      </c>
      <c r="M43" s="1">
        <f>averages__5[[#This Row],[delta_clk]]*$G$1*1000000000</f>
        <v>514.06543450428228</v>
      </c>
    </row>
    <row r="44" spans="1:13" x14ac:dyDescent="0.25">
      <c r="H44" s="1"/>
      <c r="I44" s="1"/>
      <c r="J44" s="1"/>
    </row>
    <row r="45" spans="1:13" x14ac:dyDescent="0.25">
      <c r="A45" t="s">
        <v>0</v>
      </c>
      <c r="B45" t="s">
        <v>8</v>
      </c>
      <c r="D45">
        <v>6</v>
      </c>
      <c r="E45">
        <v>34.566000000000003</v>
      </c>
      <c r="F45">
        <v>0.05</v>
      </c>
      <c r="H45" s="1"/>
      <c r="I45" s="1"/>
      <c r="J45" s="1"/>
    </row>
    <row r="46" spans="1:13" x14ac:dyDescent="0.25">
      <c r="A46" t="s">
        <v>3</v>
      </c>
      <c r="B46">
        <v>0.127</v>
      </c>
      <c r="E46" t="s">
        <v>0</v>
      </c>
      <c r="F46" t="s">
        <v>1</v>
      </c>
      <c r="G46" t="s">
        <v>2</v>
      </c>
      <c r="H46" s="1" t="s">
        <v>10</v>
      </c>
      <c r="I46" s="1" t="s">
        <v>9</v>
      </c>
      <c r="J46" s="1" t="s">
        <v>13</v>
      </c>
      <c r="K46" t="s">
        <v>14</v>
      </c>
      <c r="L46" t="s">
        <v>11</v>
      </c>
      <c r="M46" t="s">
        <v>12</v>
      </c>
    </row>
    <row r="47" spans="1:13" x14ac:dyDescent="0.25">
      <c r="A47" t="s">
        <v>4</v>
      </c>
      <c r="B47">
        <v>0.128</v>
      </c>
      <c r="E47" t="s">
        <v>3</v>
      </c>
      <c r="F47">
        <v>-85.775000000000006</v>
      </c>
      <c r="G47">
        <v>-91.85</v>
      </c>
      <c r="H47" s="1">
        <v>40231.998070896429</v>
      </c>
      <c r="I47" s="1">
        <v>188.7024284597087</v>
      </c>
      <c r="J47" s="1">
        <f>SQRT((POWER($E$45,2)+POWER($B46,2)))</f>
        <v>34.566233306508828</v>
      </c>
      <c r="K47" s="1">
        <f>(averages__6[[#This Row],[dist_a_m]]/$D$1)/$G$1</f>
        <v>7369.638234425538</v>
      </c>
      <c r="L47" s="1">
        <f>averages__6[[#This Row],[TOF_clk]]-averages__6[[#This Row],[dist_a_clk]]</f>
        <v>32862.359836470889</v>
      </c>
      <c r="M47" s="1">
        <f>averages__6[[#This Row],[delta_clk]]*$G$1*1000000000</f>
        <v>514.29724804173873</v>
      </c>
    </row>
    <row r="48" spans="1:13" x14ac:dyDescent="0.25">
      <c r="A48" t="s">
        <v>5</v>
      </c>
      <c r="B48">
        <v>0.13900000000000001</v>
      </c>
      <c r="E48" t="s">
        <v>4</v>
      </c>
      <c r="F48">
        <v>-89</v>
      </c>
      <c r="G48">
        <v>-94.18</v>
      </c>
      <c r="H48" s="1">
        <v>40298.592564211009</v>
      </c>
      <c r="I48" s="1">
        <v>189.01478039878867</v>
      </c>
      <c r="J48" s="1">
        <f>SQRT((POWER($E$45,2)+POWER($B47,2)))</f>
        <v>34.566236995079464</v>
      </c>
      <c r="K48" s="1">
        <f>(averages__6[[#This Row],[dist_a_m]]/$D$1)/$G$1</f>
        <v>7369.639020841314</v>
      </c>
      <c r="L48" s="1">
        <f>averages__6[[#This Row],[TOF_clk]]-averages__6[[#This Row],[dist_a_clk]]</f>
        <v>32928.953543369695</v>
      </c>
      <c r="M48" s="1">
        <f>averages__6[[#This Row],[delta_clk]]*$G$1*1000000000</f>
        <v>515.33944222272225</v>
      </c>
    </row>
    <row r="49" spans="1:13" x14ac:dyDescent="0.25">
      <c r="A49" t="s">
        <v>6</v>
      </c>
      <c r="B49">
        <v>0.14099999999999999</v>
      </c>
      <c r="E49" t="s">
        <v>5</v>
      </c>
      <c r="F49">
        <v>-85.78</v>
      </c>
      <c r="G49">
        <v>-93.19</v>
      </c>
      <c r="H49" s="1">
        <v>40278.93957983757</v>
      </c>
      <c r="I49" s="1">
        <v>188.92260088855869</v>
      </c>
      <c r="J49" s="1">
        <f>SQRT((POWER($E$45,2)+POWER($B48,2)))</f>
        <v>34.566279478705837</v>
      </c>
      <c r="K49" s="1">
        <f>(averages__6[[#This Row],[dist_a_m]]/$D$1)/$G$1</f>
        <v>7369.6480784946161</v>
      </c>
      <c r="L49" s="1">
        <f>averages__6[[#This Row],[TOF_clk]]-averages__6[[#This Row],[dist_a_clk]]</f>
        <v>32909.291501342952</v>
      </c>
      <c r="M49" s="1">
        <f>averages__6[[#This Row],[delta_clk]]*$G$1*1000000000</f>
        <v>515.03173047726159</v>
      </c>
    </row>
    <row r="50" spans="1:13" x14ac:dyDescent="0.25">
      <c r="A50" t="s">
        <v>7</v>
      </c>
      <c r="B50">
        <v>0.124</v>
      </c>
      <c r="E50" t="s">
        <v>6</v>
      </c>
      <c r="F50">
        <v>-85.1</v>
      </c>
      <c r="G50">
        <v>-92.32</v>
      </c>
      <c r="H50" s="1">
        <v>40246.519945523774</v>
      </c>
      <c r="I50" s="1">
        <v>188.7705412341013</v>
      </c>
      <c r="J50" s="1">
        <f>SQRT((POWER($E$45,2)+POWER($B49,2)))</f>
        <v>34.566287579084914</v>
      </c>
      <c r="K50" s="1">
        <f>(averages__6[[#This Row],[dist_a_m]]/$D$1)/$G$1</f>
        <v>7369.6498055229222</v>
      </c>
      <c r="L50" s="1">
        <f>averages__6[[#This Row],[TOF_clk]]-averages__6[[#This Row],[dist_a_clk]]</f>
        <v>32876.87014000085</v>
      </c>
      <c r="M50" s="1">
        <f>averages__6[[#This Row],[delta_clk]]*$G$1*1000000000</f>
        <v>514.52433487332496</v>
      </c>
    </row>
    <row r="51" spans="1:13" x14ac:dyDescent="0.25">
      <c r="E51" t="s">
        <v>7</v>
      </c>
      <c r="F51">
        <v>-88.19</v>
      </c>
      <c r="G51">
        <v>-95.28</v>
      </c>
      <c r="H51" s="1">
        <v>40280.472552007588</v>
      </c>
      <c r="I51" s="1">
        <v>188.92979107510456</v>
      </c>
      <c r="J51" s="1">
        <f>SQRT((POWER($E$45,2)+POWER($B50,2)))</f>
        <v>34.566222414374415</v>
      </c>
      <c r="K51" s="1">
        <f>(averages__6[[#This Row],[dist_a_m]]/$D$1)/$G$1</f>
        <v>7369.6359121855212</v>
      </c>
      <c r="L51" s="1">
        <f>averages__6[[#This Row],[TOF_clk]]-averages__6[[#This Row],[dist_a_clk]]</f>
        <v>32910.836639822068</v>
      </c>
      <c r="M51" s="1">
        <f>averages__6[[#This Row],[delta_clk]]*$G$1*1000000000</f>
        <v>515.05591195636441</v>
      </c>
    </row>
    <row r="52" spans="1:13" x14ac:dyDescent="0.25">
      <c r="H52" s="1"/>
      <c r="I52" s="1"/>
      <c r="J52" s="1"/>
    </row>
    <row r="53" spans="1:13" x14ac:dyDescent="0.25">
      <c r="A53" t="s">
        <v>0</v>
      </c>
      <c r="B53" t="s">
        <v>8</v>
      </c>
      <c r="D53">
        <v>7</v>
      </c>
      <c r="E53">
        <v>40.787999999999997</v>
      </c>
      <c r="F53">
        <v>0.05</v>
      </c>
      <c r="H53" s="1"/>
      <c r="I53" s="1"/>
      <c r="J53" s="1"/>
    </row>
    <row r="54" spans="1:13" x14ac:dyDescent="0.25">
      <c r="A54" t="s">
        <v>3</v>
      </c>
      <c r="B54">
        <v>0.127</v>
      </c>
      <c r="E54" t="s">
        <v>0</v>
      </c>
      <c r="F54" t="s">
        <v>1</v>
      </c>
      <c r="G54" t="s">
        <v>2</v>
      </c>
      <c r="H54" s="1" t="s">
        <v>10</v>
      </c>
      <c r="I54" s="1" t="s">
        <v>9</v>
      </c>
      <c r="J54" s="1" t="s">
        <v>13</v>
      </c>
      <c r="K54" t="s">
        <v>14</v>
      </c>
      <c r="L54" t="s">
        <v>11</v>
      </c>
      <c r="M54" t="s">
        <v>12</v>
      </c>
    </row>
    <row r="55" spans="1:13" x14ac:dyDescent="0.25">
      <c r="A55" t="s">
        <v>4</v>
      </c>
      <c r="B55">
        <v>0.128</v>
      </c>
      <c r="E55" t="s">
        <v>3</v>
      </c>
      <c r="F55">
        <v>-88.27</v>
      </c>
      <c r="G55">
        <v>-91.86</v>
      </c>
      <c r="H55" s="1">
        <v>41569.2646262091</v>
      </c>
      <c r="I55" s="1">
        <v>194.97468583158394</v>
      </c>
      <c r="J55" s="1">
        <f>SQRT((POWER($E$53,2)+POWER($B54,2)))</f>
        <v>40.788197716986708</v>
      </c>
      <c r="K55" s="1">
        <f>(averages__7[[#This Row],[dist_a_m]]/$D$1)/$G$1</f>
        <v>8696.182159709364</v>
      </c>
      <c r="L55" s="1">
        <f>averages__7[[#This Row],[TOF_clk]]-averages__7[[#This Row],[dist_a_clk]]</f>
        <v>32873.082466499734</v>
      </c>
      <c r="M55" s="1">
        <f>averages__7[[#This Row],[delta_clk]]*$G$1*1000000000</f>
        <v>514.46505763128278</v>
      </c>
    </row>
    <row r="56" spans="1:13" x14ac:dyDescent="0.25">
      <c r="A56" t="s">
        <v>5</v>
      </c>
      <c r="B56">
        <v>0.13900000000000001</v>
      </c>
      <c r="E56" t="s">
        <v>4</v>
      </c>
      <c r="F56">
        <v>-88.914999999999992</v>
      </c>
      <c r="G56">
        <v>-93.504999999999995</v>
      </c>
      <c r="H56" s="1">
        <v>41635.01766641163</v>
      </c>
      <c r="I56" s="1">
        <v>195.28309105528081</v>
      </c>
      <c r="J56" s="1">
        <f>SQRT((POWER($E$53,2)+POWER($B55,2)))</f>
        <v>40.788200842890824</v>
      </c>
      <c r="K56" s="1">
        <f>(averages__7[[#This Row],[dist_a_m]]/$D$1)/$G$1</f>
        <v>8696.1828261627288</v>
      </c>
      <c r="L56" s="1">
        <f>averages__7[[#This Row],[TOF_clk]]-averages__7[[#This Row],[dist_a_clk]]</f>
        <v>32938.834840248899</v>
      </c>
      <c r="M56" s="1">
        <f>averages__7[[#This Row],[delta_clk]]*$G$1*1000000000</f>
        <v>515.49408491476697</v>
      </c>
    </row>
    <row r="57" spans="1:13" x14ac:dyDescent="0.25">
      <c r="A57" t="s">
        <v>6</v>
      </c>
      <c r="B57">
        <v>0.14099999999999999</v>
      </c>
      <c r="E57" t="s">
        <v>5</v>
      </c>
      <c r="F57">
        <v>-86.89</v>
      </c>
      <c r="G57">
        <v>-92.73</v>
      </c>
      <c r="H57" s="1">
        <v>41615.544651102013</v>
      </c>
      <c r="I57" s="1">
        <v>195.19175566418534</v>
      </c>
      <c r="J57" s="1">
        <f>SQRT((POWER($E$53,2)+POWER($B56,2)))</f>
        <v>40.788236845933902</v>
      </c>
      <c r="K57" s="1">
        <f>(averages__7[[#This Row],[dist_a_m]]/$D$1)/$G$1</f>
        <v>8696.1905021336825</v>
      </c>
      <c r="L57" s="1">
        <f>averages__7[[#This Row],[TOF_clk]]-averages__7[[#This Row],[dist_a_clk]]</f>
        <v>32919.354148968327</v>
      </c>
      <c r="M57" s="1">
        <f>averages__7[[#This Row],[delta_clk]]*$G$1*1000000000</f>
        <v>515.18921131574962</v>
      </c>
    </row>
    <row r="58" spans="1:13" x14ac:dyDescent="0.25">
      <c r="A58" t="s">
        <v>7</v>
      </c>
      <c r="B58">
        <v>0.124</v>
      </c>
      <c r="E58" t="s">
        <v>6</v>
      </c>
      <c r="F58">
        <v>-89.13</v>
      </c>
      <c r="G58">
        <v>-93.55</v>
      </c>
      <c r="H58" s="1">
        <v>41606.704214336751</v>
      </c>
      <c r="I58" s="1">
        <v>195.15029086088845</v>
      </c>
      <c r="J58" s="1">
        <f>SQRT((POWER($E$53,2)+POWER($B57,2)))</f>
        <v>40.788243710657603</v>
      </c>
      <c r="K58" s="1">
        <f>(averages__7[[#This Row],[dist_a_m]]/$D$1)/$G$1</f>
        <v>8696.1919657160688</v>
      </c>
      <c r="L58" s="1">
        <f>averages__7[[#This Row],[TOF_clk]]-averages__7[[#This Row],[dist_a_clk]]</f>
        <v>32910.512248620682</v>
      </c>
      <c r="M58" s="1">
        <f>averages__7[[#This Row],[delta_clk]]*$G$1*1000000000</f>
        <v>515.05083522106622</v>
      </c>
    </row>
    <row r="59" spans="1:13" x14ac:dyDescent="0.25">
      <c r="E59" t="s">
        <v>7</v>
      </c>
      <c r="F59">
        <v>-91.21</v>
      </c>
      <c r="G59">
        <v>-99.655000000000001</v>
      </c>
      <c r="H59" s="1">
        <v>41595.262864908742</v>
      </c>
      <c r="I59" s="1">
        <v>195.09662684902116</v>
      </c>
      <c r="J59" s="1">
        <f>SQRT((POWER($E$53,2)+POWER($B58,2)))</f>
        <v>40.788188486374331</v>
      </c>
      <c r="K59" s="1">
        <f>(averages__7[[#This Row],[dist_a_m]]/$D$1)/$G$1</f>
        <v>8696.1801917114844</v>
      </c>
      <c r="L59" s="1">
        <f>averages__7[[#This Row],[TOF_clk]]-averages__7[[#This Row],[dist_a_clk]]</f>
        <v>32899.082673197256</v>
      </c>
      <c r="M59" s="1">
        <f>averages__7[[#This Row],[delta_clk]]*$G$1*1000000000</f>
        <v>514.87196190777388</v>
      </c>
    </row>
    <row r="60" spans="1:13" x14ac:dyDescent="0.25">
      <c r="H60" s="1"/>
      <c r="I60" s="1"/>
      <c r="J60" s="1"/>
    </row>
    <row r="61" spans="1:13" x14ac:dyDescent="0.25">
      <c r="A61" t="s">
        <v>0</v>
      </c>
      <c r="B61" t="s">
        <v>8</v>
      </c>
      <c r="D61">
        <v>8</v>
      </c>
      <c r="E61">
        <v>49.89</v>
      </c>
      <c r="F61">
        <v>0.1</v>
      </c>
      <c r="H61" s="1"/>
      <c r="I61" s="1"/>
      <c r="J61" s="1"/>
    </row>
    <row r="62" spans="1:13" x14ac:dyDescent="0.25">
      <c r="A62" t="s">
        <v>3</v>
      </c>
      <c r="B62">
        <v>0.127</v>
      </c>
      <c r="E62" t="s">
        <v>0</v>
      </c>
      <c r="F62" t="s">
        <v>1</v>
      </c>
      <c r="G62" t="s">
        <v>2</v>
      </c>
      <c r="H62" s="1" t="s">
        <v>10</v>
      </c>
      <c r="I62" s="1" t="s">
        <v>9</v>
      </c>
      <c r="J62" s="1" t="s">
        <v>13</v>
      </c>
      <c r="K62" t="s">
        <v>14</v>
      </c>
      <c r="L62" t="s">
        <v>11</v>
      </c>
      <c r="M62" t="s">
        <v>12</v>
      </c>
    </row>
    <row r="63" spans="1:13" x14ac:dyDescent="0.25">
      <c r="A63" t="s">
        <v>4</v>
      </c>
      <c r="B63">
        <v>0.128</v>
      </c>
      <c r="E63" t="s">
        <v>3</v>
      </c>
      <c r="F63">
        <v>-88.68</v>
      </c>
      <c r="G63">
        <v>-95.05</v>
      </c>
      <c r="H63" s="1">
        <v>43568.007763956128</v>
      </c>
      <c r="I63" s="1">
        <v>204.34950443481119</v>
      </c>
      <c r="J63" s="1">
        <f>SQRT((POWER($E$61,2)+POWER($B62,2)))</f>
        <v>49.890161645358496</v>
      </c>
      <c r="K63" s="1">
        <f>(averages__8[[#This Row],[dist_a_m]]/$D$1)/$G$1</f>
        <v>10636.751754900402</v>
      </c>
      <c r="L63" s="1">
        <f>averages__8[[#This Row],[TOF_clk]]-averages__8[[#This Row],[dist_a_clk]]</f>
        <v>32931.256009055724</v>
      </c>
      <c r="M63" s="1">
        <f>averages__8[[#This Row],[delta_clk]]*$G$1*1000000000</f>
        <v>515.3754759029548</v>
      </c>
    </row>
    <row r="64" spans="1:13" x14ac:dyDescent="0.25">
      <c r="A64" t="s">
        <v>5</v>
      </c>
      <c r="B64">
        <v>0.13900000000000001</v>
      </c>
      <c r="E64" t="s">
        <v>4</v>
      </c>
      <c r="F64">
        <v>-91.68</v>
      </c>
      <c r="G64">
        <v>-97.59</v>
      </c>
      <c r="H64" s="1">
        <v>43621.042122180304</v>
      </c>
      <c r="I64" s="1">
        <v>204.59825450114067</v>
      </c>
      <c r="J64" s="1">
        <f>SQRT((POWER($E$61,2)+POWER($B63,2)))</f>
        <v>49.890164200972521</v>
      </c>
      <c r="K64" s="1">
        <f>(averages__8[[#This Row],[dist_a_m]]/$D$1)/$G$1</f>
        <v>10636.752299765983</v>
      </c>
      <c r="L64" s="1">
        <f>averages__8[[#This Row],[TOF_clk]]-averages__8[[#This Row],[dist_a_clk]]</f>
        <v>32984.289822414321</v>
      </c>
      <c r="M64" s="1">
        <f>averages__8[[#This Row],[delta_clk]]*$G$1*1000000000</f>
        <v>516.20545720676898</v>
      </c>
    </row>
    <row r="65" spans="1:13" x14ac:dyDescent="0.25">
      <c r="A65" t="s">
        <v>6</v>
      </c>
      <c r="B65">
        <v>0.14099999999999999</v>
      </c>
      <c r="E65" t="s">
        <v>5</v>
      </c>
      <c r="F65">
        <v>-92.24</v>
      </c>
      <c r="G65">
        <v>-103.14</v>
      </c>
      <c r="H65" s="1">
        <v>43590.421083737368</v>
      </c>
      <c r="I65" s="1">
        <v>204.45463090317872</v>
      </c>
      <c r="J65" s="1">
        <f>SQRT((POWER($E$61,2)+POWER($B64,2)))</f>
        <v>49.890193635623426</v>
      </c>
      <c r="K65" s="1">
        <f>(averages__8[[#This Row],[dist_a_m]]/$D$1)/$G$1</f>
        <v>10636.758575333437</v>
      </c>
      <c r="L65" s="1">
        <f>averages__8[[#This Row],[TOF_clk]]-averages__8[[#This Row],[dist_a_clk]]</f>
        <v>32953.662508403933</v>
      </c>
      <c r="M65" s="1">
        <f>averages__8[[#This Row],[delta_clk]]*$G$1*1000000000</f>
        <v>515.72613851545054</v>
      </c>
    </row>
    <row r="66" spans="1:13" x14ac:dyDescent="0.25">
      <c r="A66" t="s">
        <v>7</v>
      </c>
      <c r="B66">
        <v>0.124</v>
      </c>
      <c r="E66" t="s">
        <v>6</v>
      </c>
      <c r="F66">
        <v>-90.685000000000002</v>
      </c>
      <c r="G66">
        <v>-99.16</v>
      </c>
      <c r="H66" s="1">
        <v>43576.142424808953</v>
      </c>
      <c r="I66" s="1">
        <v>204.38765889720997</v>
      </c>
      <c r="J66" s="1">
        <f>SQRT((POWER($E$61,2)+POWER($B65,2)))</f>
        <v>49.890199247948487</v>
      </c>
      <c r="K66" s="1">
        <f>(averages__8[[#This Row],[dist_a_m]]/$D$1)/$G$1</f>
        <v>10636.759771900184</v>
      </c>
      <c r="L66" s="1">
        <f>averages__8[[#This Row],[TOF_clk]]-averages__8[[#This Row],[dist_a_clk]]</f>
        <v>32939.382652908767</v>
      </c>
      <c r="M66" s="1">
        <f>averages__8[[#This Row],[delta_clk]]*$G$1*1000000000</f>
        <v>515.50265820484151</v>
      </c>
    </row>
    <row r="67" spans="1:13" x14ac:dyDescent="0.25">
      <c r="E67" t="s">
        <v>7</v>
      </c>
      <c r="F67">
        <v>-95.1</v>
      </c>
      <c r="G67">
        <v>-99.56</v>
      </c>
      <c r="H67" s="1">
        <v>43617.120880645503</v>
      </c>
      <c r="I67" s="1">
        <v>204.57986247897739</v>
      </c>
      <c r="J67" s="1">
        <f>SQRT((POWER($E$61,2)+POWER($B66,2)))</f>
        <v>49.890154098779846</v>
      </c>
      <c r="K67" s="1">
        <f>(averages__8[[#This Row],[dist_a_m]]/$D$1)/$G$1</f>
        <v>10636.750145944226</v>
      </c>
      <c r="L67" s="1">
        <f>averages__8[[#This Row],[TOF_clk]]-averages__8[[#This Row],[dist_a_clk]]</f>
        <v>32980.370734701275</v>
      </c>
      <c r="M67" s="1">
        <f>averages__8[[#This Row],[delta_clk]]*$G$1*1000000000</f>
        <v>516.14412332704501</v>
      </c>
    </row>
    <row r="68" spans="1:13" x14ac:dyDescent="0.25">
      <c r="H68" s="1"/>
      <c r="I68" s="1"/>
      <c r="J68" s="1"/>
    </row>
    <row r="69" spans="1:13" x14ac:dyDescent="0.25">
      <c r="A69" t="s">
        <v>0</v>
      </c>
      <c r="B69" t="s">
        <v>8</v>
      </c>
      <c r="D69">
        <v>9</v>
      </c>
      <c r="E69">
        <v>57.868000000000002</v>
      </c>
      <c r="F69">
        <v>0.1</v>
      </c>
      <c r="H69" s="1"/>
      <c r="I69" s="1"/>
      <c r="J69" s="1"/>
    </row>
    <row r="70" spans="1:13" x14ac:dyDescent="0.25">
      <c r="A70" t="s">
        <v>3</v>
      </c>
      <c r="B70">
        <v>0.127</v>
      </c>
      <c r="E70" t="s">
        <v>0</v>
      </c>
      <c r="F70" t="s">
        <v>1</v>
      </c>
      <c r="G70" t="s">
        <v>2</v>
      </c>
      <c r="H70" s="1" t="s">
        <v>10</v>
      </c>
      <c r="I70" s="1" t="s">
        <v>9</v>
      </c>
      <c r="J70" s="1" t="s">
        <v>13</v>
      </c>
      <c r="K70" t="s">
        <v>14</v>
      </c>
      <c r="L70" t="s">
        <v>11</v>
      </c>
      <c r="M70" t="s">
        <v>12</v>
      </c>
    </row>
    <row r="71" spans="1:13" x14ac:dyDescent="0.25">
      <c r="A71" t="s">
        <v>4</v>
      </c>
      <c r="B71">
        <v>0.128</v>
      </c>
      <c r="E71" t="s">
        <v>3</v>
      </c>
      <c r="F71">
        <v>-91.65</v>
      </c>
      <c r="G71">
        <v>-100.21</v>
      </c>
      <c r="H71" s="1">
        <v>45281.014258913201</v>
      </c>
      <c r="I71" s="1">
        <v>212.38411621312824</v>
      </c>
      <c r="J71" s="1">
        <f>SQRT((POWER($E$69,2)+POWER($B70,2)))</f>
        <v>57.868139360100393</v>
      </c>
      <c r="K71" s="1">
        <f>(averages__9[[#This Row],[dist_a_m]]/$D$1)/$G$1</f>
        <v>12337.683675327082</v>
      </c>
      <c r="L71" s="1">
        <f>averages__9[[#This Row],[TOF_clk]]-averages__9[[#This Row],[dist_a_clk]]</f>
        <v>32943.330583586117</v>
      </c>
      <c r="M71" s="1">
        <f>averages__9[[#This Row],[delta_clk]]*$G$1*1000000000</f>
        <v>515.56444347811248</v>
      </c>
    </row>
    <row r="72" spans="1:13" x14ac:dyDescent="0.25">
      <c r="A72" t="s">
        <v>5</v>
      </c>
      <c r="B72">
        <v>0.13900000000000001</v>
      </c>
      <c r="E72" t="s">
        <v>4</v>
      </c>
      <c r="F72">
        <v>-94.53</v>
      </c>
      <c r="G72">
        <v>-97.8</v>
      </c>
      <c r="H72" s="1">
        <v>45400.424331409668</v>
      </c>
      <c r="I72" s="1">
        <v>212.94419206675414</v>
      </c>
      <c r="J72" s="1">
        <f>SQRT((POWER($E$69,2)+POWER($B71,2)))</f>
        <v>57.868141563385294</v>
      </c>
      <c r="K72" s="1">
        <f>(averages__9[[#This Row],[dist_a_m]]/$D$1)/$G$1</f>
        <v>12337.6841450749</v>
      </c>
      <c r="L72" s="1">
        <f>averages__9[[#This Row],[TOF_clk]]-averages__9[[#This Row],[dist_a_clk]]</f>
        <v>33062.74018633477</v>
      </c>
      <c r="M72" s="1">
        <f>averages__9[[#This Row],[delta_clk]]*$G$1*1000000000</f>
        <v>517.43320854516742</v>
      </c>
    </row>
    <row r="73" spans="1:13" x14ac:dyDescent="0.25">
      <c r="A73" t="s">
        <v>6</v>
      </c>
      <c r="B73">
        <v>0.14099999999999999</v>
      </c>
      <c r="E73" t="s">
        <v>5</v>
      </c>
      <c r="F73">
        <v>-96.2</v>
      </c>
      <c r="G73">
        <v>-104.29</v>
      </c>
      <c r="H73" s="1">
        <v>45309.222815984554</v>
      </c>
      <c r="I73" s="1">
        <v>212.51642441252037</v>
      </c>
      <c r="J73" s="1">
        <f>SQRT((POWER($E$69,2)+POWER($B72,2)))</f>
        <v>57.868166940037078</v>
      </c>
      <c r="K73" s="1">
        <f>(averages__9[[#This Row],[dist_a_m]]/$D$1)/$G$1</f>
        <v>12337.68955546317</v>
      </c>
      <c r="L73" s="1">
        <f>averages__9[[#This Row],[TOF_clk]]-averages__9[[#This Row],[dist_a_clk]]</f>
        <v>32971.533260521384</v>
      </c>
      <c r="M73" s="1">
        <f>averages__9[[#This Row],[delta_clk]]*$G$1*1000000000</f>
        <v>516.00581650206436</v>
      </c>
    </row>
    <row r="74" spans="1:13" x14ac:dyDescent="0.25">
      <c r="A74" t="s">
        <v>7</v>
      </c>
      <c r="B74">
        <v>0.124</v>
      </c>
      <c r="E74" t="s">
        <v>6</v>
      </c>
      <c r="F74">
        <v>-92.29</v>
      </c>
      <c r="G74">
        <v>-102.08</v>
      </c>
      <c r="H74" s="1">
        <v>45296.447532294034</v>
      </c>
      <c r="I74" s="1">
        <v>212.45650377292364</v>
      </c>
      <c r="J74" s="1">
        <f>SQRT((POWER($E$69,2)+POWER($B73,2)))</f>
        <v>57.868171778621111</v>
      </c>
      <c r="K74" s="1">
        <f>(averages__9[[#This Row],[dist_a_m]]/$D$1)/$G$1</f>
        <v>12337.690587065705</v>
      </c>
      <c r="L74" s="1">
        <f>averages__9[[#This Row],[TOF_clk]]-averages__9[[#This Row],[dist_a_clk]]</f>
        <v>32958.756945228328</v>
      </c>
      <c r="M74" s="1">
        <f>averages__9[[#This Row],[delta_clk]]*$G$1*1000000000</f>
        <v>515.80586665585633</v>
      </c>
    </row>
    <row r="75" spans="1:13" x14ac:dyDescent="0.25">
      <c r="E75" t="s">
        <v>7</v>
      </c>
      <c r="F75">
        <v>-95.76</v>
      </c>
      <c r="G75">
        <v>-111.19</v>
      </c>
      <c r="H75" s="1">
        <v>45304.98814959314</v>
      </c>
      <c r="I75" s="1">
        <v>212.49656231592832</v>
      </c>
      <c r="J75" s="1">
        <f>SQRT((POWER($E$69,2)+POWER($B74,2)))</f>
        <v>57.868132853929197</v>
      </c>
      <c r="K75" s="1">
        <f>(averages__9[[#This Row],[dist_a_m]]/$D$1)/$G$1</f>
        <v>12337.682288189306</v>
      </c>
      <c r="L75" s="1">
        <f>averages__9[[#This Row],[TOF_clk]]-averages__9[[#This Row],[dist_a_clk]]</f>
        <v>32967.305861403831</v>
      </c>
      <c r="M75" s="1">
        <f>averages__9[[#This Row],[delta_clk]]*$G$1*1000000000</f>
        <v>515.93965753650764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AA34-0B79-4842-A592-DCF8EDEAFEB3}">
  <dimension ref="B2:AI49"/>
  <sheetViews>
    <sheetView tabSelected="1" topLeftCell="R1" workbookViewId="0">
      <selection activeCell="AI43" sqref="AI43"/>
    </sheetView>
  </sheetViews>
  <sheetFormatPr defaultRowHeight="15" x14ac:dyDescent="0.25"/>
  <cols>
    <col min="2" max="2" width="15.42578125" customWidth="1"/>
    <col min="3" max="3" width="11.42578125" customWidth="1"/>
    <col min="4" max="4" width="11.5703125" customWidth="1"/>
    <col min="11" max="11" width="11.85546875" customWidth="1"/>
    <col min="12" max="12" width="15.85546875" customWidth="1"/>
    <col min="13" max="13" width="15.5703125" customWidth="1"/>
    <col min="14" max="14" width="11" customWidth="1"/>
    <col min="15" max="15" width="11.5703125" customWidth="1"/>
    <col min="16" max="16" width="11.85546875" customWidth="1"/>
    <col min="17" max="17" width="11.140625" customWidth="1"/>
    <col min="18" max="18" width="10.7109375" customWidth="1"/>
    <col min="19" max="19" width="15" customWidth="1"/>
  </cols>
  <sheetData>
    <row r="2" spans="2:19" x14ac:dyDescent="0.25">
      <c r="B2" t="s">
        <v>15</v>
      </c>
      <c r="C2">
        <v>299702547</v>
      </c>
      <c r="D2" t="s">
        <v>17</v>
      </c>
    </row>
    <row r="3" spans="2:19" x14ac:dyDescent="0.25">
      <c r="B3" t="s">
        <v>16</v>
      </c>
      <c r="C3" s="2">
        <v>1.5650040064103001E-11</v>
      </c>
      <c r="D3" t="s">
        <v>18</v>
      </c>
      <c r="K3" s="1">
        <f>K5*C3*1000000000</f>
        <v>518.06182232794106</v>
      </c>
      <c r="N3">
        <f>N5/C2</f>
        <v>4.3997959938468681E-9</v>
      </c>
      <c r="P3" s="2">
        <f>K3-N3</f>
        <v>518.06182232354126</v>
      </c>
    </row>
    <row r="4" spans="2:19" x14ac:dyDescent="0.25">
      <c r="H4" t="s">
        <v>0</v>
      </c>
      <c r="I4" t="s">
        <v>1</v>
      </c>
      <c r="J4" t="s">
        <v>2</v>
      </c>
      <c r="K4" t="s">
        <v>10</v>
      </c>
      <c r="L4" t="s">
        <v>22</v>
      </c>
      <c r="M4" t="s">
        <v>23</v>
      </c>
      <c r="N4" t="s">
        <v>13</v>
      </c>
      <c r="O4" t="s">
        <v>21</v>
      </c>
      <c r="P4" t="s">
        <v>14</v>
      </c>
      <c r="Q4" t="s">
        <v>11</v>
      </c>
      <c r="R4" t="s">
        <v>12</v>
      </c>
      <c r="S4" t="s">
        <v>24</v>
      </c>
    </row>
    <row r="5" spans="2:19" x14ac:dyDescent="0.25">
      <c r="B5" t="s">
        <v>0</v>
      </c>
      <c r="C5" t="s">
        <v>8</v>
      </c>
      <c r="H5" t="s">
        <v>3</v>
      </c>
      <c r="I5" s="1">
        <v>-81.22</v>
      </c>
      <c r="J5" s="1">
        <v>-91.754999999999995</v>
      </c>
      <c r="K5" s="1">
        <v>33102.907098380922</v>
      </c>
      <c r="L5" s="1">
        <v>155.2644476551454</v>
      </c>
      <c r="M5">
        <v>1</v>
      </c>
      <c r="N5" s="4">
        <f>SQRT(VLOOKUP(M5,Table3[#All],2,FALSE)^2 + VLOOKUP(H5,Table1[#All],2,FALSE)^2)</f>
        <v>1.3186300656363028</v>
      </c>
      <c r="O5">
        <f>VLOOKUP(M5,Table3[#All],3,FALSE)</f>
        <v>2E-3</v>
      </c>
      <c r="P5" s="1">
        <f t="shared" ref="P5:P49" si="0">(N5/$C$2)/$C$3</f>
        <v>281.13640449642179</v>
      </c>
      <c r="Q5" s="1">
        <f t="shared" ref="Q5:Q49" si="1">K5-P5</f>
        <v>32821.7706938845</v>
      </c>
      <c r="R5" s="1">
        <f t="shared" ref="R5:R49" si="2">Q5*$C$3*1000000000</f>
        <v>513.66202633409421</v>
      </c>
      <c r="S5" s="1">
        <f>((Table4[[#This Row],[deviation]]/$C$2)*1000000000)/2</f>
        <v>3.3366416468926441E-3</v>
      </c>
    </row>
    <row r="6" spans="2:19" x14ac:dyDescent="0.25">
      <c r="B6" t="s">
        <v>3</v>
      </c>
      <c r="C6">
        <v>0.127</v>
      </c>
      <c r="H6" t="s">
        <v>3</v>
      </c>
      <c r="I6" s="1">
        <v>-84.27000000000001</v>
      </c>
      <c r="J6" s="1">
        <v>-94.64500000000001</v>
      </c>
      <c r="K6" s="1">
        <v>33778.410789746253</v>
      </c>
      <c r="L6" s="1">
        <v>158.43280103320805</v>
      </c>
      <c r="M6">
        <v>2</v>
      </c>
      <c r="N6" s="4">
        <f>SQRT(VLOOKUP(M6,Table3[#All],2,FALSE)^2 + VLOOKUP(H6,Table1[#All],2,FALSE)^2)</f>
        <v>4.4303206712381433</v>
      </c>
      <c r="O6">
        <f>VLOOKUP(M6,Table3[#All],3,FALSE)</f>
        <v>2E-3</v>
      </c>
      <c r="P6" s="1">
        <f t="shared" si="0"/>
        <v>944.55940049951755</v>
      </c>
      <c r="Q6" s="1">
        <f t="shared" si="1"/>
        <v>32833.851389246738</v>
      </c>
      <c r="R6" s="1">
        <f t="shared" si="2"/>
        <v>513.85108970051544</v>
      </c>
      <c r="S6" s="1">
        <f>((Table4[[#This Row],[deviation]]/$C$2)*1000000000)/2</f>
        <v>3.3366416468926441E-3</v>
      </c>
    </row>
    <row r="7" spans="2:19" x14ac:dyDescent="0.25">
      <c r="B7" t="s">
        <v>4</v>
      </c>
      <c r="C7">
        <v>0.128</v>
      </c>
      <c r="H7" t="s">
        <v>3</v>
      </c>
      <c r="I7" s="1">
        <v>-83.86</v>
      </c>
      <c r="J7" s="1">
        <v>-91.8</v>
      </c>
      <c r="K7" s="1">
        <v>34250.401499199077</v>
      </c>
      <c r="L7" s="1">
        <v>160.64660589885801</v>
      </c>
      <c r="M7" s="3">
        <v>3</v>
      </c>
      <c r="N7" s="4">
        <f>SQRT(VLOOKUP(M7,Table3[#All],2,FALSE)^2 + VLOOKUP(H7,Table1[#All],2,FALSE)^2)</f>
        <v>6.5952228923668681</v>
      </c>
      <c r="O7">
        <f>VLOOKUP(M7,Table3[#All],3,FALSE)</f>
        <v>2E-3</v>
      </c>
      <c r="P7" s="1">
        <f t="shared" si="0"/>
        <v>1406.1239001992512</v>
      </c>
      <c r="Q7" s="1">
        <f t="shared" si="1"/>
        <v>32844.277598999826</v>
      </c>
      <c r="R7" s="1">
        <f t="shared" si="2"/>
        <v>514.01426030086805</v>
      </c>
      <c r="S7" s="1">
        <f>((Table4[[#This Row],[deviation]]/$C$2)*1000000000)/2</f>
        <v>3.3366416468926441E-3</v>
      </c>
    </row>
    <row r="8" spans="2:19" x14ac:dyDescent="0.25">
      <c r="B8" t="s">
        <v>5</v>
      </c>
      <c r="C8">
        <v>0.13900000000000001</v>
      </c>
      <c r="H8" t="s">
        <v>3</v>
      </c>
      <c r="I8" s="1">
        <v>-88.54</v>
      </c>
      <c r="J8" s="1">
        <v>-96.78</v>
      </c>
      <c r="K8" s="1">
        <v>36185.52835448923</v>
      </c>
      <c r="L8" s="1">
        <v>169.72304143475566</v>
      </c>
      <c r="M8" s="3">
        <v>4</v>
      </c>
      <c r="N8" s="4">
        <f>SQRT(VLOOKUP(M8,Table3[#All],2,FALSE)^2 + VLOOKUP(H8,Table1[#All],2,FALSE)^2)</f>
        <v>15.526519410350796</v>
      </c>
      <c r="O8">
        <f>VLOOKUP(M8,Table3[#All],3,FALSE)</f>
        <v>2E-3</v>
      </c>
      <c r="P8" s="1">
        <f t="shared" si="0"/>
        <v>3310.3066243704743</v>
      </c>
      <c r="Q8" s="1">
        <f t="shared" si="1"/>
        <v>32875.221730118756</v>
      </c>
      <c r="R8" s="1">
        <f t="shared" si="2"/>
        <v>514.49853719262808</v>
      </c>
      <c r="S8" s="1">
        <f>((Table4[[#This Row],[deviation]]/$C$2)*1000000000)/2</f>
        <v>3.3366416468926441E-3</v>
      </c>
    </row>
    <row r="9" spans="2:19" x14ac:dyDescent="0.25">
      <c r="B9" t="s">
        <v>6</v>
      </c>
      <c r="C9">
        <v>0.14099999999999999</v>
      </c>
      <c r="H9" t="s">
        <v>3</v>
      </c>
      <c r="I9" s="1">
        <v>-84.484999999999999</v>
      </c>
      <c r="J9" s="1">
        <v>-91.68</v>
      </c>
      <c r="K9" s="1">
        <v>38225.029607678975</v>
      </c>
      <c r="L9" s="1">
        <v>179.28903014467085</v>
      </c>
      <c r="M9" s="3">
        <v>5</v>
      </c>
      <c r="N9" s="4">
        <f>SQRT(VLOOKUP(M9,Table3[#All],2,FALSE)^2 + VLOOKUP(H9,Table1[#All],2,FALSE)^2)</f>
        <v>25.22731967530439</v>
      </c>
      <c r="O9">
        <f>VLOOKUP(M9,Table3[#All],3,FALSE)</f>
        <v>2E-3</v>
      </c>
      <c r="P9" s="1">
        <f t="shared" si="0"/>
        <v>5378.550158549986</v>
      </c>
      <c r="Q9" s="1">
        <f t="shared" si="1"/>
        <v>32846.479449128987</v>
      </c>
      <c r="R9" s="1">
        <f t="shared" si="2"/>
        <v>514.04871934360449</v>
      </c>
      <c r="S9" s="1">
        <f>((Table4[[#This Row],[deviation]]/$C$2)*1000000000)/2</f>
        <v>3.3366416468926441E-3</v>
      </c>
    </row>
    <row r="10" spans="2:19" x14ac:dyDescent="0.25">
      <c r="B10" t="s">
        <v>7</v>
      </c>
      <c r="C10">
        <v>0.124</v>
      </c>
      <c r="H10" t="s">
        <v>3</v>
      </c>
      <c r="I10" s="1">
        <v>-85.775000000000006</v>
      </c>
      <c r="J10" s="1">
        <v>-91.85</v>
      </c>
      <c r="K10" s="1">
        <v>40231.998070896429</v>
      </c>
      <c r="L10" s="1">
        <v>188.7024284597087</v>
      </c>
      <c r="M10" s="3">
        <v>6</v>
      </c>
      <c r="N10" s="4">
        <f>SQRT(VLOOKUP(M10,Table3[#All],2,FALSE)^2 + VLOOKUP(H10,Table1[#All],2,FALSE)^2)</f>
        <v>34.566233306508828</v>
      </c>
      <c r="O10">
        <f>VLOOKUP(M10,Table3[#All],3,FALSE)</f>
        <v>0.05</v>
      </c>
      <c r="P10" s="1">
        <f t="shared" si="0"/>
        <v>7369.638234425538</v>
      </c>
      <c r="Q10" s="1">
        <f t="shared" si="1"/>
        <v>32862.359836470889</v>
      </c>
      <c r="R10" s="1">
        <f t="shared" si="2"/>
        <v>514.29724804173873</v>
      </c>
      <c r="S10" s="1">
        <f>((Table4[[#This Row],[deviation]]/$C$2)*1000000000)/2</f>
        <v>8.3416041172316102E-2</v>
      </c>
    </row>
    <row r="11" spans="2:19" x14ac:dyDescent="0.25">
      <c r="H11" t="s">
        <v>3</v>
      </c>
      <c r="I11" s="1">
        <v>-88.27</v>
      </c>
      <c r="J11" s="1">
        <v>-91.86</v>
      </c>
      <c r="K11" s="1">
        <v>41569.2646262091</v>
      </c>
      <c r="L11" s="1">
        <v>194.97468583158394</v>
      </c>
      <c r="M11" s="3">
        <v>7</v>
      </c>
      <c r="N11" s="4">
        <f>SQRT(VLOOKUP(M11,Table3[#All],2,FALSE)^2 + VLOOKUP(H11,Table1[#All],2,FALSE)^2)</f>
        <v>40.788197716986708</v>
      </c>
      <c r="O11">
        <f>VLOOKUP(M11,Table3[#All],3,FALSE)</f>
        <v>0.05</v>
      </c>
      <c r="P11" s="1">
        <f t="shared" si="0"/>
        <v>8696.182159709364</v>
      </c>
      <c r="Q11" s="1">
        <f t="shared" si="1"/>
        <v>32873.082466499734</v>
      </c>
      <c r="R11" s="1">
        <f t="shared" si="2"/>
        <v>514.46505763128278</v>
      </c>
      <c r="S11" s="1">
        <f>((Table4[[#This Row],[deviation]]/$C$2)*1000000000)/2</f>
        <v>8.3416041172316102E-2</v>
      </c>
    </row>
    <row r="12" spans="2:19" x14ac:dyDescent="0.25">
      <c r="B12" t="s">
        <v>19</v>
      </c>
      <c r="C12" t="s">
        <v>20</v>
      </c>
      <c r="D12" t="s">
        <v>21</v>
      </c>
      <c r="H12" t="s">
        <v>3</v>
      </c>
      <c r="I12" s="1">
        <v>-88.68</v>
      </c>
      <c r="J12" s="1">
        <v>-95.05</v>
      </c>
      <c r="K12" s="1">
        <v>43568.007763956128</v>
      </c>
      <c r="L12" s="1">
        <v>204.34950443481119</v>
      </c>
      <c r="M12" s="3">
        <v>8</v>
      </c>
      <c r="N12" s="4">
        <f>SQRT(VLOOKUP(M12,Table3[#All],2,FALSE)^2 + VLOOKUP(H12,Table1[#All],2,FALSE)^2)</f>
        <v>49.890161645358496</v>
      </c>
      <c r="O12">
        <f>VLOOKUP(M12,Table3[#All],3,FALSE)</f>
        <v>0.1</v>
      </c>
      <c r="P12" s="1">
        <f t="shared" si="0"/>
        <v>10636.751754900402</v>
      </c>
      <c r="Q12" s="1">
        <f t="shared" si="1"/>
        <v>32931.256009055724</v>
      </c>
      <c r="R12" s="1">
        <f t="shared" si="2"/>
        <v>515.3754759029548</v>
      </c>
      <c r="S12" s="1">
        <f>((Table4[[#This Row],[deviation]]/$C$2)*1000000000)/2</f>
        <v>0.1668320823446322</v>
      </c>
    </row>
    <row r="13" spans="2:19" x14ac:dyDescent="0.25">
      <c r="B13">
        <v>1</v>
      </c>
      <c r="C13">
        <v>1.3125</v>
      </c>
      <c r="D13">
        <v>2E-3</v>
      </c>
      <c r="H13" t="s">
        <v>3</v>
      </c>
      <c r="I13" s="1">
        <v>-91.65</v>
      </c>
      <c r="J13" s="1">
        <v>-100.21</v>
      </c>
      <c r="K13" s="1">
        <v>45281.014258913201</v>
      </c>
      <c r="L13" s="1">
        <v>212.38411621312824</v>
      </c>
      <c r="M13" s="3">
        <v>9</v>
      </c>
      <c r="N13" s="4">
        <f>SQRT(VLOOKUP(M13,Table3[#All],2,FALSE)^2 + VLOOKUP(H13,Table1[#All],2,FALSE)^2)</f>
        <v>57.868139360100393</v>
      </c>
      <c r="O13">
        <f>VLOOKUP(M13,Table3[#All],3,FALSE)</f>
        <v>0.1</v>
      </c>
      <c r="P13" s="1">
        <f t="shared" si="0"/>
        <v>12337.683675327082</v>
      </c>
      <c r="Q13" s="1">
        <f t="shared" si="1"/>
        <v>32943.330583586117</v>
      </c>
      <c r="R13" s="1">
        <f t="shared" si="2"/>
        <v>515.56444347811248</v>
      </c>
      <c r="S13" s="1">
        <f>((Table4[[#This Row],[deviation]]/$C$2)*1000000000)/2</f>
        <v>0.1668320823446322</v>
      </c>
    </row>
    <row r="14" spans="2:19" x14ac:dyDescent="0.25">
      <c r="B14">
        <v>2</v>
      </c>
      <c r="C14">
        <v>4.4284999999999997</v>
      </c>
      <c r="D14">
        <v>2E-3</v>
      </c>
      <c r="H14" t="s">
        <v>4</v>
      </c>
      <c r="I14" s="1">
        <v>-82.46</v>
      </c>
      <c r="J14" s="1">
        <v>-91.81</v>
      </c>
      <c r="K14" s="1">
        <v>33124.466487259357</v>
      </c>
      <c r="L14" s="1">
        <v>155.36556888283832</v>
      </c>
      <c r="M14">
        <v>1</v>
      </c>
      <c r="N14" s="4">
        <f>SQRT(VLOOKUP(M14,Table3[#All],2,FALSE)^2 + VLOOKUP(H14,Table1[#All],2,FALSE)^2)</f>
        <v>1.3187267533496088</v>
      </c>
      <c r="O14">
        <f>VLOOKUP(M14,Table3[#All],3,FALSE)</f>
        <v>2E-3</v>
      </c>
      <c r="P14" s="1">
        <f t="shared" si="0"/>
        <v>281.15701864498868</v>
      </c>
      <c r="Q14" s="1">
        <f t="shared" si="1"/>
        <v>32843.309468614367</v>
      </c>
      <c r="R14" s="1">
        <f t="shared" si="2"/>
        <v>513.99910902154829</v>
      </c>
      <c r="S14" s="1">
        <f>((Table4[[#This Row],[deviation]]/$C$2)*1000000000)/2</f>
        <v>3.3366416468926441E-3</v>
      </c>
    </row>
    <row r="15" spans="2:19" x14ac:dyDescent="0.25">
      <c r="B15">
        <v>3</v>
      </c>
      <c r="C15">
        <v>6.5940000000000003</v>
      </c>
      <c r="D15">
        <v>2E-3</v>
      </c>
      <c r="H15" t="s">
        <v>4</v>
      </c>
      <c r="I15" s="1">
        <v>-83.51</v>
      </c>
      <c r="J15" s="1">
        <v>-91.754999999999995</v>
      </c>
      <c r="K15" s="1">
        <v>33814.804728369112</v>
      </c>
      <c r="L15" s="1">
        <v>158.60350159317639</v>
      </c>
      <c r="M15">
        <v>2</v>
      </c>
      <c r="N15" s="4">
        <f>SQRT(VLOOKUP(M15,Table3[#All],2,FALSE)^2 + VLOOKUP(H15,Table1[#All],2,FALSE)^2)</f>
        <v>4.4303494500998442</v>
      </c>
      <c r="O15">
        <f>VLOOKUP(M15,Table3[#All],3,FALSE)</f>
        <v>2E-3</v>
      </c>
      <c r="P15" s="1">
        <f t="shared" si="0"/>
        <v>944.56553625048741</v>
      </c>
      <c r="Q15" s="1">
        <f t="shared" si="1"/>
        <v>32870.239192118628</v>
      </c>
      <c r="R15" s="1">
        <f t="shared" si="2"/>
        <v>514.42056027330523</v>
      </c>
      <c r="S15" s="1">
        <f>((Table4[[#This Row],[deviation]]/$C$2)*1000000000)/2</f>
        <v>3.3366416468926441E-3</v>
      </c>
    </row>
    <row r="16" spans="2:19" x14ac:dyDescent="0.25">
      <c r="B16">
        <v>4</v>
      </c>
      <c r="C16">
        <v>15.526</v>
      </c>
      <c r="D16">
        <v>2E-3</v>
      </c>
      <c r="H16" t="s">
        <v>4</v>
      </c>
      <c r="I16" s="1">
        <v>-84.67</v>
      </c>
      <c r="J16" s="1">
        <v>-91.93</v>
      </c>
      <c r="K16" s="1">
        <v>34292.401554739285</v>
      </c>
      <c r="L16" s="1">
        <v>160.84360114781163</v>
      </c>
      <c r="M16" s="3">
        <v>3</v>
      </c>
      <c r="N16" s="4">
        <f>SQRT(VLOOKUP(M16,Table3[#All],2,FALSE)^2 + VLOOKUP(H16,Table1[#All],2,FALSE)^2)</f>
        <v>6.5952422245130622</v>
      </c>
      <c r="O16">
        <f>VLOOKUP(M16,Table3[#All],3,FALSE)</f>
        <v>2E-3</v>
      </c>
      <c r="P16" s="1">
        <f t="shared" si="0"/>
        <v>1406.1280218784198</v>
      </c>
      <c r="Q16" s="1">
        <f t="shared" si="1"/>
        <v>32886.273532860861</v>
      </c>
      <c r="R16" s="1">
        <f t="shared" si="2"/>
        <v>514.67149834832253</v>
      </c>
      <c r="S16" s="1">
        <f>((Table4[[#This Row],[deviation]]/$C$2)*1000000000)/2</f>
        <v>3.3366416468926441E-3</v>
      </c>
    </row>
    <row r="17" spans="2:19" x14ac:dyDescent="0.25">
      <c r="B17">
        <v>5</v>
      </c>
      <c r="C17">
        <v>25.227</v>
      </c>
      <c r="D17">
        <v>2E-3</v>
      </c>
      <c r="H17" t="s">
        <v>4</v>
      </c>
      <c r="I17" s="1">
        <v>-88.67</v>
      </c>
      <c r="J17" s="1">
        <v>-92.98</v>
      </c>
      <c r="K17" s="1">
        <v>36219.871890467679</v>
      </c>
      <c r="L17" s="1">
        <v>169.88412487459891</v>
      </c>
      <c r="M17" s="3">
        <v>4</v>
      </c>
      <c r="N17" s="4">
        <f>SQRT(VLOOKUP(M17,Table3[#All],2,FALSE)^2 + VLOOKUP(H17,Table1[#All],2,FALSE)^2)</f>
        <v>15.526527622105336</v>
      </c>
      <c r="O17">
        <f>VLOOKUP(M17,Table3[#All],3,FALSE)</f>
        <v>2E-3</v>
      </c>
      <c r="P17" s="1">
        <f t="shared" si="0"/>
        <v>3310.3083751444069</v>
      </c>
      <c r="Q17" s="1">
        <f t="shared" si="1"/>
        <v>32909.563515323272</v>
      </c>
      <c r="R17" s="1">
        <f t="shared" si="2"/>
        <v>515.03598750695164</v>
      </c>
      <c r="S17" s="1">
        <f>((Table4[[#This Row],[deviation]]/$C$2)*1000000000)/2</f>
        <v>3.3366416468926441E-3</v>
      </c>
    </row>
    <row r="18" spans="2:19" x14ac:dyDescent="0.25">
      <c r="B18">
        <v>6</v>
      </c>
      <c r="C18">
        <v>34.566000000000003</v>
      </c>
      <c r="D18">
        <v>0.05</v>
      </c>
      <c r="H18" t="s">
        <v>4</v>
      </c>
      <c r="I18" s="1">
        <v>-86.76</v>
      </c>
      <c r="J18" s="1">
        <v>-92.03</v>
      </c>
      <c r="K18" s="1">
        <v>38272.648097387762</v>
      </c>
      <c r="L18" s="1">
        <v>179.51237785491372</v>
      </c>
      <c r="M18" s="3">
        <v>5</v>
      </c>
      <c r="N18" s="4">
        <f>SQRT(VLOOKUP(M18,Table3[#All],2,FALSE)^2 + VLOOKUP(H18,Table1[#All],2,FALSE)^2)</f>
        <v>25.227324729348531</v>
      </c>
      <c r="O18">
        <f>VLOOKUP(M18,Table3[#All],3,FALSE)</f>
        <v>2E-3</v>
      </c>
      <c r="P18" s="1">
        <f t="shared" si="0"/>
        <v>5378.5512360893472</v>
      </c>
      <c r="Q18" s="1">
        <f t="shared" si="1"/>
        <v>32894.096861298414</v>
      </c>
      <c r="R18" s="1">
        <f t="shared" si="2"/>
        <v>514.79393375180496</v>
      </c>
      <c r="S18" s="1">
        <f>((Table4[[#This Row],[deviation]]/$C$2)*1000000000)/2</f>
        <v>3.3366416468926441E-3</v>
      </c>
    </row>
    <row r="19" spans="2:19" x14ac:dyDescent="0.25">
      <c r="B19">
        <v>7</v>
      </c>
      <c r="C19">
        <v>40.787999999999997</v>
      </c>
      <c r="D19">
        <v>0.05</v>
      </c>
      <c r="H19" t="s">
        <v>4</v>
      </c>
      <c r="I19" s="1">
        <v>-89</v>
      </c>
      <c r="J19" s="1">
        <v>-94.18</v>
      </c>
      <c r="K19" s="1">
        <v>40298.592564211009</v>
      </c>
      <c r="L19" s="1">
        <v>189.01478039878867</v>
      </c>
      <c r="M19" s="3">
        <v>6</v>
      </c>
      <c r="N19" s="4">
        <f>SQRT(VLOOKUP(M19,Table3[#All],2,FALSE)^2 + VLOOKUP(H19,Table1[#All],2,FALSE)^2)</f>
        <v>34.566236995079464</v>
      </c>
      <c r="O19">
        <f>VLOOKUP(M19,Table3[#All],3,FALSE)</f>
        <v>0.05</v>
      </c>
      <c r="P19" s="1">
        <f t="shared" si="0"/>
        <v>7369.639020841314</v>
      </c>
      <c r="Q19" s="1">
        <f t="shared" si="1"/>
        <v>32928.953543369695</v>
      </c>
      <c r="R19" s="1">
        <f t="shared" si="2"/>
        <v>515.33944222272225</v>
      </c>
      <c r="S19" s="1">
        <f>((Table4[[#This Row],[deviation]]/$C$2)*1000000000)/2</f>
        <v>8.3416041172316102E-2</v>
      </c>
    </row>
    <row r="20" spans="2:19" x14ac:dyDescent="0.25">
      <c r="B20">
        <v>8</v>
      </c>
      <c r="C20">
        <v>49.89</v>
      </c>
      <c r="D20">
        <v>0.1</v>
      </c>
      <c r="H20" t="s">
        <v>4</v>
      </c>
      <c r="I20" s="1">
        <v>-88.914999999999992</v>
      </c>
      <c r="J20" s="1">
        <v>-93.504999999999995</v>
      </c>
      <c r="K20" s="1">
        <v>41635.01766641163</v>
      </c>
      <c r="L20" s="1">
        <v>195.28309105528081</v>
      </c>
      <c r="M20" s="3">
        <v>7</v>
      </c>
      <c r="N20" s="4">
        <f>SQRT(VLOOKUP(M20,Table3[#All],2,FALSE)^2 + VLOOKUP(H20,Table1[#All],2,FALSE)^2)</f>
        <v>40.788200842890824</v>
      </c>
      <c r="O20">
        <f>VLOOKUP(M20,Table3[#All],3,FALSE)</f>
        <v>0.05</v>
      </c>
      <c r="P20" s="1">
        <f t="shared" si="0"/>
        <v>8696.1828261627288</v>
      </c>
      <c r="Q20" s="1">
        <f t="shared" si="1"/>
        <v>32938.834840248899</v>
      </c>
      <c r="R20" s="1">
        <f t="shared" si="2"/>
        <v>515.49408491476697</v>
      </c>
      <c r="S20" s="1">
        <f>((Table4[[#This Row],[deviation]]/$C$2)*1000000000)/2</f>
        <v>8.3416041172316102E-2</v>
      </c>
    </row>
    <row r="21" spans="2:19" x14ac:dyDescent="0.25">
      <c r="B21">
        <v>9</v>
      </c>
      <c r="C21">
        <v>57.868000000000002</v>
      </c>
      <c r="D21">
        <v>0.1</v>
      </c>
      <c r="H21" t="s">
        <v>4</v>
      </c>
      <c r="I21" s="1">
        <v>-91.68</v>
      </c>
      <c r="J21" s="1">
        <v>-97.59</v>
      </c>
      <c r="K21" s="1">
        <v>43621.042122180304</v>
      </c>
      <c r="L21" s="1">
        <v>204.59825450114067</v>
      </c>
      <c r="M21" s="3">
        <v>8</v>
      </c>
      <c r="N21" s="4">
        <f>SQRT(VLOOKUP(M21,Table3[#All],2,FALSE)^2 + VLOOKUP(H21,Table1[#All],2,FALSE)^2)</f>
        <v>49.890164200972521</v>
      </c>
      <c r="O21">
        <f>VLOOKUP(M21,Table3[#All],3,FALSE)</f>
        <v>0.1</v>
      </c>
      <c r="P21" s="1">
        <f t="shared" si="0"/>
        <v>10636.752299765983</v>
      </c>
      <c r="Q21" s="1">
        <f t="shared" si="1"/>
        <v>32984.289822414321</v>
      </c>
      <c r="R21" s="1">
        <f t="shared" si="2"/>
        <v>516.20545720676898</v>
      </c>
      <c r="S21" s="1">
        <f>((Table4[[#This Row],[deviation]]/$C$2)*1000000000)/2</f>
        <v>0.1668320823446322</v>
      </c>
    </row>
    <row r="22" spans="2:19" x14ac:dyDescent="0.25">
      <c r="H22" t="s">
        <v>4</v>
      </c>
      <c r="I22" s="1">
        <v>-94.53</v>
      </c>
      <c r="J22" s="1">
        <v>-97.8</v>
      </c>
      <c r="K22" s="1">
        <v>45400.424331409668</v>
      </c>
      <c r="L22" s="1">
        <v>212.94419206675414</v>
      </c>
      <c r="M22" s="3">
        <v>9</v>
      </c>
      <c r="N22" s="4">
        <f>SQRT(VLOOKUP(M22,Table3[#All],2,FALSE)^2 + VLOOKUP(H22,Table1[#All],2,FALSE)^2)</f>
        <v>57.868141563385294</v>
      </c>
      <c r="O22">
        <f>VLOOKUP(M22,Table3[#All],3,FALSE)</f>
        <v>0.1</v>
      </c>
      <c r="P22" s="1">
        <f t="shared" si="0"/>
        <v>12337.6841450749</v>
      </c>
      <c r="Q22" s="1">
        <f t="shared" si="1"/>
        <v>33062.74018633477</v>
      </c>
      <c r="R22" s="1">
        <f t="shared" si="2"/>
        <v>517.43320854516742</v>
      </c>
      <c r="S22" s="1">
        <f>((Table4[[#This Row],[deviation]]/$C$2)*1000000000)/2</f>
        <v>0.1668320823446322</v>
      </c>
    </row>
    <row r="23" spans="2:19" x14ac:dyDescent="0.25">
      <c r="H23" t="s">
        <v>5</v>
      </c>
      <c r="I23" s="1">
        <v>-81.739999999999995</v>
      </c>
      <c r="J23" s="1">
        <v>-91.6</v>
      </c>
      <c r="K23" s="1">
        <v>33102.799483667739</v>
      </c>
      <c r="L23" s="1">
        <v>155.26394290373634</v>
      </c>
      <c r="M23">
        <v>1</v>
      </c>
      <c r="N23" s="4">
        <f>SQRT(VLOOKUP(M23,Table3[#All],2,FALSE)^2 + VLOOKUP(H23,Table1[#All],2,FALSE)^2)</f>
        <v>1.3198398577100177</v>
      </c>
      <c r="O23">
        <f>VLOOKUP(M23,Table3[#All],3,FALSE)</f>
        <v>2E-3</v>
      </c>
      <c r="P23" s="1">
        <f t="shared" si="0"/>
        <v>281.39433627172104</v>
      </c>
      <c r="Q23" s="1">
        <f t="shared" si="1"/>
        <v>32821.405147396021</v>
      </c>
      <c r="R23" s="1">
        <f t="shared" si="2"/>
        <v>513.65630551690413</v>
      </c>
      <c r="S23" s="1">
        <f>((Table4[[#This Row],[deviation]]/$C$2)*1000000000)/2</f>
        <v>3.3366416468926441E-3</v>
      </c>
    </row>
    <row r="24" spans="2:19" x14ac:dyDescent="0.25">
      <c r="H24" t="s">
        <v>5</v>
      </c>
      <c r="I24" s="1">
        <v>-83.06</v>
      </c>
      <c r="J24" s="1">
        <v>-91.814999999999998</v>
      </c>
      <c r="K24" s="1">
        <v>33791.885849621045</v>
      </c>
      <c r="L24" s="1">
        <v>158.4960038728367</v>
      </c>
      <c r="M24">
        <v>2</v>
      </c>
      <c r="N24" s="4">
        <f>SQRT(VLOOKUP(M24,Table3[#All],2,FALSE)^2 + VLOOKUP(H24,Table1[#All],2,FALSE)^2)</f>
        <v>4.4306809013965331</v>
      </c>
      <c r="O24">
        <f>VLOOKUP(M24,Table3[#All],3,FALSE)</f>
        <v>2E-3</v>
      </c>
      <c r="P24" s="1">
        <f t="shared" si="0"/>
        <v>944.636202791654</v>
      </c>
      <c r="Q24" s="1">
        <f t="shared" si="1"/>
        <v>32847.24964682939</v>
      </c>
      <c r="R24" s="1">
        <f t="shared" si="2"/>
        <v>514.06077296847309</v>
      </c>
      <c r="S24" s="1">
        <f>((Table4[[#This Row],[deviation]]/$C$2)*1000000000)/2</f>
        <v>3.3366416468926441E-3</v>
      </c>
    </row>
    <row r="25" spans="2:19" x14ac:dyDescent="0.25">
      <c r="H25" t="s">
        <v>5</v>
      </c>
      <c r="I25" s="1">
        <v>-83.51</v>
      </c>
      <c r="J25" s="1">
        <v>-91.77</v>
      </c>
      <c r="K25" s="1">
        <v>34252.225582433937</v>
      </c>
      <c r="L25" s="1">
        <v>160.65516150018615</v>
      </c>
      <c r="M25" s="3">
        <v>3</v>
      </c>
      <c r="N25" s="4">
        <f>SQRT(VLOOKUP(M25,Table3[#All],2,FALSE)^2 + VLOOKUP(H25,Table1[#All],2,FALSE)^2)</f>
        <v>6.5954648812650047</v>
      </c>
      <c r="O25">
        <f>VLOOKUP(M25,Table3[#All],3,FALSE)</f>
        <v>2E-3</v>
      </c>
      <c r="P25" s="1">
        <f t="shared" si="0"/>
        <v>1406.1754930534742</v>
      </c>
      <c r="Q25" s="1">
        <f t="shared" si="1"/>
        <v>32846.050089380464</v>
      </c>
      <c r="R25" s="1">
        <f t="shared" si="2"/>
        <v>514.04199984633829</v>
      </c>
      <c r="S25" s="1">
        <f>((Table4[[#This Row],[deviation]]/$C$2)*1000000000)/2</f>
        <v>3.3366416468926441E-3</v>
      </c>
    </row>
    <row r="26" spans="2:19" x14ac:dyDescent="0.25">
      <c r="H26" t="s">
        <v>5</v>
      </c>
      <c r="I26" s="1">
        <v>-85.97</v>
      </c>
      <c r="J26" s="1">
        <v>-92.32</v>
      </c>
      <c r="K26" s="1">
        <v>36191.263524182548</v>
      </c>
      <c r="L26" s="1">
        <v>169.74994142731509</v>
      </c>
      <c r="M26" s="3">
        <v>4</v>
      </c>
      <c r="N26" s="4">
        <f>SQRT(VLOOKUP(M26,Table3[#All],2,FALSE)^2 + VLOOKUP(H26,Table1[#All],2,FALSE)^2)</f>
        <v>15.526622201882804</v>
      </c>
      <c r="O26">
        <f>VLOOKUP(M26,Table3[#All],3,FALSE)</f>
        <v>2E-3</v>
      </c>
      <c r="P26" s="1">
        <f t="shared" si="0"/>
        <v>3310.3285398739004</v>
      </c>
      <c r="Q26" s="1">
        <f t="shared" si="1"/>
        <v>32880.934984308646</v>
      </c>
      <c r="R26" s="1">
        <f t="shared" si="2"/>
        <v>514.58794984959627</v>
      </c>
      <c r="S26" s="1">
        <f>((Table4[[#This Row],[deviation]]/$C$2)*1000000000)/2</f>
        <v>3.3366416468926441E-3</v>
      </c>
    </row>
    <row r="27" spans="2:19" x14ac:dyDescent="0.25">
      <c r="H27" t="s">
        <v>5</v>
      </c>
      <c r="I27" s="1">
        <v>-83.53</v>
      </c>
      <c r="J27" s="1">
        <v>-91.67</v>
      </c>
      <c r="K27" s="1">
        <v>38259.435946946251</v>
      </c>
      <c r="L27" s="1">
        <v>179.45040815435112</v>
      </c>
      <c r="M27" s="3">
        <v>5</v>
      </c>
      <c r="N27" s="4">
        <f>SQRT(VLOOKUP(M27,Table3[#All],2,FALSE)^2 + VLOOKUP(H27,Table1[#All],2,FALSE)^2)</f>
        <v>25.227382939972191</v>
      </c>
      <c r="O27">
        <f>VLOOKUP(M27,Table3[#All],3,FALSE)</f>
        <v>2E-3</v>
      </c>
      <c r="P27" s="1">
        <f t="shared" si="0"/>
        <v>5378.5636467918375</v>
      </c>
      <c r="Q27" s="1">
        <f t="shared" si="1"/>
        <v>32880.872300154413</v>
      </c>
      <c r="R27" s="1">
        <f t="shared" si="2"/>
        <v>514.58696884007111</v>
      </c>
      <c r="S27" s="1">
        <f>((Table4[[#This Row],[deviation]]/$C$2)*1000000000)/2</f>
        <v>3.3366416468926441E-3</v>
      </c>
    </row>
    <row r="28" spans="2:19" x14ac:dyDescent="0.25">
      <c r="H28" t="s">
        <v>5</v>
      </c>
      <c r="I28" s="1">
        <v>-85.78</v>
      </c>
      <c r="J28" s="1">
        <v>-93.19</v>
      </c>
      <c r="K28" s="1">
        <v>40278.93957983757</v>
      </c>
      <c r="L28" s="1">
        <v>188.92260088855869</v>
      </c>
      <c r="M28" s="3">
        <v>6</v>
      </c>
      <c r="N28" s="4">
        <f>SQRT(VLOOKUP(M28,Table3[#All],2,FALSE)^2 + VLOOKUP(H28,Table1[#All],2,FALSE)^2)</f>
        <v>34.566279478705837</v>
      </c>
      <c r="O28">
        <f>VLOOKUP(M28,Table3[#All],3,FALSE)</f>
        <v>0.05</v>
      </c>
      <c r="P28" s="1">
        <f t="shared" si="0"/>
        <v>7369.6480784946161</v>
      </c>
      <c r="Q28" s="1">
        <f t="shared" si="1"/>
        <v>32909.291501342952</v>
      </c>
      <c r="R28" s="1">
        <f t="shared" si="2"/>
        <v>515.03173047726159</v>
      </c>
      <c r="S28" s="1">
        <f>((Table4[[#This Row],[deviation]]/$C$2)*1000000000)/2</f>
        <v>8.3416041172316102E-2</v>
      </c>
    </row>
    <row r="29" spans="2:19" x14ac:dyDescent="0.25">
      <c r="H29" t="s">
        <v>5</v>
      </c>
      <c r="I29" s="1">
        <v>-86.89</v>
      </c>
      <c r="J29" s="1">
        <v>-92.73</v>
      </c>
      <c r="K29" s="1">
        <v>41615.544651102013</v>
      </c>
      <c r="L29" s="1">
        <v>195.19175566418534</v>
      </c>
      <c r="M29" s="3">
        <v>7</v>
      </c>
      <c r="N29" s="4">
        <f>SQRT(VLOOKUP(M29,Table3[#All],2,FALSE)^2 + VLOOKUP(H29,Table1[#All],2,FALSE)^2)</f>
        <v>40.788236845933902</v>
      </c>
      <c r="O29">
        <f>VLOOKUP(M29,Table3[#All],3,FALSE)</f>
        <v>0.05</v>
      </c>
      <c r="P29" s="1">
        <f t="shared" si="0"/>
        <v>8696.1905021336825</v>
      </c>
      <c r="Q29" s="1">
        <f t="shared" si="1"/>
        <v>32919.354148968327</v>
      </c>
      <c r="R29" s="1">
        <f t="shared" si="2"/>
        <v>515.18921131574962</v>
      </c>
      <c r="S29" s="1">
        <f>((Table4[[#This Row],[deviation]]/$C$2)*1000000000)/2</f>
        <v>8.3416041172316102E-2</v>
      </c>
    </row>
    <row r="30" spans="2:19" x14ac:dyDescent="0.25">
      <c r="H30" t="s">
        <v>5</v>
      </c>
      <c r="I30" s="1">
        <v>-92.24</v>
      </c>
      <c r="J30" s="1">
        <v>-103.14</v>
      </c>
      <c r="K30" s="1">
        <v>43590.421083737368</v>
      </c>
      <c r="L30" s="1">
        <v>204.45463090317872</v>
      </c>
      <c r="M30" s="3">
        <v>8</v>
      </c>
      <c r="N30" s="4">
        <f>SQRT(VLOOKUP(M30,Table3[#All],2,FALSE)^2 + VLOOKUP(H30,Table1[#All],2,FALSE)^2)</f>
        <v>49.890193635623426</v>
      </c>
      <c r="O30">
        <f>VLOOKUP(M30,Table3[#All],3,FALSE)</f>
        <v>0.1</v>
      </c>
      <c r="P30" s="1">
        <f t="shared" si="0"/>
        <v>10636.758575333437</v>
      </c>
      <c r="Q30" s="1">
        <f t="shared" si="1"/>
        <v>32953.662508403933</v>
      </c>
      <c r="R30" s="1">
        <f t="shared" si="2"/>
        <v>515.72613851545054</v>
      </c>
      <c r="S30" s="1">
        <f>((Table4[[#This Row],[deviation]]/$C$2)*1000000000)/2</f>
        <v>0.1668320823446322</v>
      </c>
    </row>
    <row r="31" spans="2:19" x14ac:dyDescent="0.25">
      <c r="H31" t="s">
        <v>5</v>
      </c>
      <c r="I31" s="1">
        <v>-96.2</v>
      </c>
      <c r="J31" s="1">
        <v>-104.29</v>
      </c>
      <c r="K31" s="1">
        <v>45309.222815984554</v>
      </c>
      <c r="L31" s="1">
        <v>212.51642441252037</v>
      </c>
      <c r="M31" s="3">
        <v>9</v>
      </c>
      <c r="N31" s="4">
        <f>SQRT(VLOOKUP(M31,Table3[#All],2,FALSE)^2 + VLOOKUP(H31,Table1[#All],2,FALSE)^2)</f>
        <v>57.868166940037078</v>
      </c>
      <c r="O31">
        <f>VLOOKUP(M31,Table3[#All],3,FALSE)</f>
        <v>0.1</v>
      </c>
      <c r="P31" s="1">
        <f t="shared" si="0"/>
        <v>12337.68955546317</v>
      </c>
      <c r="Q31" s="1">
        <f t="shared" si="1"/>
        <v>32971.533260521384</v>
      </c>
      <c r="R31" s="1">
        <f t="shared" si="2"/>
        <v>516.00581650206436</v>
      </c>
      <c r="S31" s="1">
        <f>((Table4[[#This Row],[deviation]]/$C$2)*1000000000)/2</f>
        <v>0.1668320823446322</v>
      </c>
    </row>
    <row r="32" spans="2:19" x14ac:dyDescent="0.25">
      <c r="H32" t="s">
        <v>6</v>
      </c>
      <c r="I32" s="1">
        <v>-80.88</v>
      </c>
      <c r="J32" s="1">
        <v>-92.01</v>
      </c>
      <c r="K32" s="1">
        <v>33108.739641372653</v>
      </c>
      <c r="L32" s="1">
        <v>155.29180436322378</v>
      </c>
      <c r="M32">
        <v>1</v>
      </c>
      <c r="N32" s="4">
        <f>SQRT(VLOOKUP(M32,Table3[#All],2,FALSE)^2 + VLOOKUP(H32,Table1[#All],2,FALSE)^2)</f>
        <v>1.3200519876126091</v>
      </c>
      <c r="O32">
        <f>VLOOKUP(M32,Table3[#All],3,FALSE)</f>
        <v>2E-3</v>
      </c>
      <c r="P32" s="1">
        <f t="shared" si="0"/>
        <v>281.43956308677315</v>
      </c>
      <c r="Q32" s="1">
        <f t="shared" si="1"/>
        <v>32827.30007828588</v>
      </c>
      <c r="R32" s="1">
        <f t="shared" si="2"/>
        <v>513.74856142150566</v>
      </c>
      <c r="S32" s="1">
        <f>((Table4[[#This Row],[deviation]]/$C$2)*1000000000)/2</f>
        <v>3.3366416468926441E-3</v>
      </c>
    </row>
    <row r="33" spans="8:35" x14ac:dyDescent="0.25">
      <c r="H33" t="s">
        <v>6</v>
      </c>
      <c r="I33" s="1">
        <v>-82.435000000000002</v>
      </c>
      <c r="J33" s="1">
        <v>-91.824999999999989</v>
      </c>
      <c r="K33" s="1">
        <v>33834.847861714923</v>
      </c>
      <c r="L33" s="1">
        <v>158.69751104131845</v>
      </c>
      <c r="M33">
        <v>2</v>
      </c>
      <c r="N33" s="4">
        <f>SQRT(VLOOKUP(M33,Table3[#All],2,FALSE)^2 + VLOOKUP(H33,Table1[#All],2,FALSE)^2)</f>
        <v>4.4307440966501321</v>
      </c>
      <c r="O33">
        <f>VLOOKUP(M33,Table3[#All],3,FALSE)</f>
        <v>2E-3</v>
      </c>
      <c r="P33" s="1">
        <f t="shared" si="0"/>
        <v>944.64967623416157</v>
      </c>
      <c r="Q33" s="1">
        <f t="shared" si="1"/>
        <v>32890.19818548076</v>
      </c>
      <c r="R33" s="1">
        <f t="shared" si="2"/>
        <v>514.73291931906181</v>
      </c>
      <c r="S33" s="1">
        <f>((Table4[[#This Row],[deviation]]/$C$2)*1000000000)/2</f>
        <v>3.3366416468926441E-3</v>
      </c>
    </row>
    <row r="34" spans="8:35" x14ac:dyDescent="0.25">
      <c r="H34" t="s">
        <v>6</v>
      </c>
      <c r="I34" s="1">
        <v>-84.46</v>
      </c>
      <c r="J34" s="1">
        <v>-92.164999999999992</v>
      </c>
      <c r="K34" s="1">
        <v>34344.371013170618</v>
      </c>
      <c r="L34" s="1">
        <v>161.08735645408424</v>
      </c>
      <c r="M34" s="3">
        <v>3</v>
      </c>
      <c r="N34" s="4">
        <f>SQRT(VLOOKUP(M34,Table3[#All],2,FALSE)^2 + VLOOKUP(H34,Table1[#All],2,FALSE)^2)</f>
        <v>6.5955073345422033</v>
      </c>
      <c r="O34">
        <f>VLOOKUP(M34,Table3[#All],3,FALSE)</f>
        <v>2E-3</v>
      </c>
      <c r="P34" s="1">
        <f t="shared" si="0"/>
        <v>1406.1845442362294</v>
      </c>
      <c r="Q34" s="1">
        <f t="shared" si="1"/>
        <v>32938.186468934386</v>
      </c>
      <c r="R34" s="1">
        <f t="shared" si="2"/>
        <v>515.4839378777184</v>
      </c>
      <c r="S34" s="1">
        <f>((Table4[[#This Row],[deviation]]/$C$2)*1000000000)/2</f>
        <v>3.3366416468926441E-3</v>
      </c>
    </row>
    <row r="35" spans="8:35" x14ac:dyDescent="0.25">
      <c r="H35" t="s">
        <v>6</v>
      </c>
      <c r="I35" s="1">
        <v>-82.42</v>
      </c>
      <c r="J35" s="1">
        <v>-92.4</v>
      </c>
      <c r="K35" s="1">
        <v>36224.96832082019</v>
      </c>
      <c r="L35" s="1">
        <v>169.90802895170441</v>
      </c>
      <c r="M35" s="3">
        <v>4</v>
      </c>
      <c r="N35" s="4">
        <f>SQRT(VLOOKUP(M35,Table3[#All],2,FALSE)^2 + VLOOKUP(H35,Table1[#All],2,FALSE)^2)</f>
        <v>15.526640235414742</v>
      </c>
      <c r="O35">
        <f>VLOOKUP(M35,Table3[#All],3,FALSE)</f>
        <v>2E-3</v>
      </c>
      <c r="P35" s="1">
        <f t="shared" si="0"/>
        <v>3310.3323846841026</v>
      </c>
      <c r="Q35" s="1">
        <f t="shared" si="1"/>
        <v>32914.635936136088</v>
      </c>
      <c r="R35" s="1">
        <f t="shared" si="2"/>
        <v>515.11537109589415</v>
      </c>
      <c r="S35" s="1">
        <f>((Table4[[#This Row],[deviation]]/$C$2)*1000000000)/2</f>
        <v>3.3366416468926441E-3</v>
      </c>
    </row>
    <row r="36" spans="8:35" x14ac:dyDescent="0.25">
      <c r="H36" t="s">
        <v>6</v>
      </c>
      <c r="I36" s="1">
        <v>-84.91</v>
      </c>
      <c r="J36" s="1">
        <v>-91.84</v>
      </c>
      <c r="K36" s="1">
        <v>38239.940547557235</v>
      </c>
      <c r="L36" s="1">
        <v>179.35896777393515</v>
      </c>
      <c r="M36" s="3">
        <v>5</v>
      </c>
      <c r="N36" s="4">
        <f>SQRT(VLOOKUP(M36,Table3[#All],2,FALSE)^2 + VLOOKUP(H36,Table1[#All],2,FALSE)^2)</f>
        <v>25.227394039020361</v>
      </c>
      <c r="O36">
        <f>VLOOKUP(M36,Table3[#All],3,FALSE)</f>
        <v>2E-3</v>
      </c>
      <c r="P36" s="1">
        <f t="shared" si="0"/>
        <v>5378.5660131465702</v>
      </c>
      <c r="Q36" s="1">
        <f t="shared" si="1"/>
        <v>32861.374534410665</v>
      </c>
      <c r="R36" s="1">
        <f t="shared" si="2"/>
        <v>514.28182802502101</v>
      </c>
      <c r="S36" s="1">
        <f>((Table4[[#This Row],[deviation]]/$C$2)*1000000000)/2</f>
        <v>3.3366416468926441E-3</v>
      </c>
    </row>
    <row r="37" spans="8:35" x14ac:dyDescent="0.25">
      <c r="H37" t="s">
        <v>6</v>
      </c>
      <c r="I37" s="1">
        <v>-85.1</v>
      </c>
      <c r="J37" s="1">
        <v>-92.32</v>
      </c>
      <c r="K37" s="1">
        <v>40246.519945523774</v>
      </c>
      <c r="L37" s="1">
        <v>188.7705412341013</v>
      </c>
      <c r="M37" s="3">
        <v>6</v>
      </c>
      <c r="N37" s="4">
        <f>SQRT(VLOOKUP(M37,Table3[#All],2,FALSE)^2 + VLOOKUP(H37,Table1[#All],2,FALSE)^2)</f>
        <v>34.566287579084914</v>
      </c>
      <c r="O37">
        <f>VLOOKUP(M37,Table3[#All],3,FALSE)</f>
        <v>0.05</v>
      </c>
      <c r="P37" s="1">
        <f t="shared" si="0"/>
        <v>7369.6498055229222</v>
      </c>
      <c r="Q37" s="1">
        <f t="shared" si="1"/>
        <v>32876.87014000085</v>
      </c>
      <c r="R37" s="1">
        <f t="shared" si="2"/>
        <v>514.52433487332496</v>
      </c>
      <c r="S37" s="1">
        <f>((Table4[[#This Row],[deviation]]/$C$2)*1000000000)/2</f>
        <v>8.3416041172316102E-2</v>
      </c>
      <c r="AG37" s="5"/>
      <c r="AH37" s="5"/>
      <c r="AI37" s="6"/>
    </row>
    <row r="38" spans="8:35" x14ac:dyDescent="0.25">
      <c r="H38" t="s">
        <v>6</v>
      </c>
      <c r="I38" s="1">
        <v>-89.13</v>
      </c>
      <c r="J38" s="1">
        <v>-93.55</v>
      </c>
      <c r="K38" s="1">
        <v>41606.704214336751</v>
      </c>
      <c r="L38" s="1">
        <v>195.15029086088845</v>
      </c>
      <c r="M38" s="3">
        <v>7</v>
      </c>
      <c r="N38" s="4">
        <f>SQRT(VLOOKUP(M38,Table3[#All],2,FALSE)^2 + VLOOKUP(H38,Table1[#All],2,FALSE)^2)</f>
        <v>40.788243710657603</v>
      </c>
      <c r="O38">
        <f>VLOOKUP(M38,Table3[#All],3,FALSE)</f>
        <v>0.05</v>
      </c>
      <c r="P38" s="1">
        <f t="shared" si="0"/>
        <v>8696.1919657160688</v>
      </c>
      <c r="Q38" s="1">
        <f t="shared" si="1"/>
        <v>32910.512248620682</v>
      </c>
      <c r="R38" s="1">
        <f t="shared" si="2"/>
        <v>515.05083522106622</v>
      </c>
      <c r="S38" s="1">
        <f>((Table4[[#This Row],[deviation]]/$C$2)*1000000000)/2</f>
        <v>8.3416041172316102E-2</v>
      </c>
      <c r="AF38" s="5" t="s">
        <v>3</v>
      </c>
      <c r="AG38">
        <v>-0.18629999999999999</v>
      </c>
      <c r="AH38">
        <v>498.34</v>
      </c>
      <c r="AI38" s="6">
        <f>AG38*(-90)+AH38</f>
        <v>515.10699999999997</v>
      </c>
    </row>
    <row r="39" spans="8:35" x14ac:dyDescent="0.25">
      <c r="H39" t="s">
        <v>6</v>
      </c>
      <c r="I39" s="1">
        <v>-90.685000000000002</v>
      </c>
      <c r="J39" s="1">
        <v>-99.16</v>
      </c>
      <c r="K39" s="1">
        <v>43576.142424808953</v>
      </c>
      <c r="L39" s="1">
        <v>204.38765889720997</v>
      </c>
      <c r="M39" s="3">
        <v>8</v>
      </c>
      <c r="N39" s="4">
        <f>SQRT(VLOOKUP(M39,Table3[#All],2,FALSE)^2 + VLOOKUP(H39,Table1[#All],2,FALSE)^2)</f>
        <v>49.890199247948487</v>
      </c>
      <c r="O39">
        <f>VLOOKUP(M39,Table3[#All],3,FALSE)</f>
        <v>0.1</v>
      </c>
      <c r="P39" s="1">
        <f t="shared" si="0"/>
        <v>10636.759771900184</v>
      </c>
      <c r="Q39" s="1">
        <f t="shared" si="1"/>
        <v>32939.382652908767</v>
      </c>
      <c r="R39" s="1">
        <f t="shared" si="2"/>
        <v>515.50265820484151</v>
      </c>
      <c r="S39" s="1">
        <f>((Table4[[#This Row],[deviation]]/$C$2)*1000000000)/2</f>
        <v>0.1668320823446322</v>
      </c>
    </row>
    <row r="40" spans="8:35" x14ac:dyDescent="0.25">
      <c r="H40" t="s">
        <v>6</v>
      </c>
      <c r="I40" s="1">
        <v>-92.29</v>
      </c>
      <c r="J40" s="1">
        <v>-102.08</v>
      </c>
      <c r="K40" s="1">
        <v>45296.447532294034</v>
      </c>
      <c r="L40" s="1">
        <v>212.45650377292364</v>
      </c>
      <c r="M40" s="3">
        <v>9</v>
      </c>
      <c r="N40" s="4">
        <f>SQRT(VLOOKUP(M40,Table3[#All],2,FALSE)^2 + VLOOKUP(H40,Table1[#All],2,FALSE)^2)</f>
        <v>57.868171778621111</v>
      </c>
      <c r="O40">
        <f>VLOOKUP(M40,Table3[#All],3,FALSE)</f>
        <v>0.1</v>
      </c>
      <c r="P40" s="1">
        <f t="shared" si="0"/>
        <v>12337.690587065705</v>
      </c>
      <c r="Q40" s="1">
        <f t="shared" si="1"/>
        <v>32958.756945228328</v>
      </c>
      <c r="R40" s="1">
        <f t="shared" si="2"/>
        <v>515.80586665585633</v>
      </c>
      <c r="S40" s="1">
        <f>((Table4[[#This Row],[deviation]]/$C$2)*1000000000)/2</f>
        <v>0.1668320823446322</v>
      </c>
    </row>
    <row r="41" spans="8:35" x14ac:dyDescent="0.25">
      <c r="H41" t="s">
        <v>7</v>
      </c>
      <c r="I41" s="1">
        <v>-81.585000000000008</v>
      </c>
      <c r="J41" s="1">
        <v>-91.72</v>
      </c>
      <c r="K41" s="1">
        <v>33085.905392341156</v>
      </c>
      <c r="L41" s="1">
        <v>155.18470358645641</v>
      </c>
      <c r="M41">
        <v>1</v>
      </c>
      <c r="N41" s="4">
        <f>SQRT(VLOOKUP(M41,Table3[#All],2,FALSE)^2 + VLOOKUP(H41,Table1[#All],2,FALSE)^2)</f>
        <v>1.3183445111199121</v>
      </c>
      <c r="O41">
        <f>VLOOKUP(M41,Table3[#All],3,FALSE)</f>
        <v>2E-3</v>
      </c>
      <c r="P41" s="1">
        <f t="shared" si="0"/>
        <v>281.07552330455621</v>
      </c>
      <c r="Q41" s="1">
        <f t="shared" si="1"/>
        <v>32804.829869036599</v>
      </c>
      <c r="R41" s="1">
        <f t="shared" si="2"/>
        <v>513.39690174650559</v>
      </c>
      <c r="S41" s="1">
        <f>((Table4[[#This Row],[deviation]]/$C$2)*1000000000)/2</f>
        <v>3.3366416468926441E-3</v>
      </c>
    </row>
    <row r="42" spans="8:35" x14ac:dyDescent="0.25">
      <c r="H42" t="s">
        <v>7</v>
      </c>
      <c r="I42" s="1">
        <v>-82.81</v>
      </c>
      <c r="J42" s="1">
        <v>-91.83</v>
      </c>
      <c r="K42" s="1">
        <v>33807.687186154108</v>
      </c>
      <c r="L42" s="1">
        <v>158.57011778016596</v>
      </c>
      <c r="M42">
        <v>2</v>
      </c>
      <c r="N42" s="4">
        <f>SQRT(VLOOKUP(M42,Table3[#All],2,FALSE)^2 + VLOOKUP(H42,Table1[#All],2,FALSE)^2)</f>
        <v>4.4302356878613125</v>
      </c>
      <c r="O42">
        <f>VLOOKUP(M42,Table3[#All],3,FALSE)</f>
        <v>2E-3</v>
      </c>
      <c r="P42" s="1">
        <f t="shared" si="0"/>
        <v>944.5412817552035</v>
      </c>
      <c r="Q42" s="1">
        <f t="shared" si="1"/>
        <v>32863.145904398902</v>
      </c>
      <c r="R42" s="1">
        <f t="shared" si="2"/>
        <v>514.30955003630527</v>
      </c>
      <c r="S42" s="1">
        <f>((Table4[[#This Row],[deviation]]/$C$2)*1000000000)/2</f>
        <v>3.3366416468926441E-3</v>
      </c>
    </row>
    <row r="43" spans="8:35" x14ac:dyDescent="0.25">
      <c r="H43" t="s">
        <v>7</v>
      </c>
      <c r="I43" s="1">
        <v>-85.094999999999999</v>
      </c>
      <c r="J43" s="1">
        <v>-92.265000000000001</v>
      </c>
      <c r="K43" s="1">
        <v>34258.24994722422</v>
      </c>
      <c r="L43" s="1">
        <v>160.68341792095478</v>
      </c>
      <c r="M43" s="3">
        <v>3</v>
      </c>
      <c r="N43" s="4">
        <f>SQRT(VLOOKUP(M43,Table3[#All],2,FALSE)^2 + VLOOKUP(H43,Table1[#All],2,FALSE)^2)</f>
        <v>6.5951658053456095</v>
      </c>
      <c r="O43">
        <f>VLOOKUP(M43,Table3[#All],3,FALSE)</f>
        <v>2E-3</v>
      </c>
      <c r="P43" s="1">
        <f t="shared" si="0"/>
        <v>1406.1117290526058</v>
      </c>
      <c r="Q43" s="1">
        <f t="shared" si="1"/>
        <v>32852.138218171611</v>
      </c>
      <c r="R43" s="1">
        <f t="shared" si="2"/>
        <v>514.13727930583514</v>
      </c>
      <c r="S43" s="1">
        <f>((Table4[[#This Row],[deviation]]/$C$2)*1000000000)/2</f>
        <v>3.3366416468926441E-3</v>
      </c>
    </row>
    <row r="44" spans="8:35" x14ac:dyDescent="0.25">
      <c r="H44" t="s">
        <v>7</v>
      </c>
      <c r="I44" s="1">
        <v>-87.17</v>
      </c>
      <c r="J44" s="1">
        <v>-93.914999999999992</v>
      </c>
      <c r="K44" s="1">
        <v>36202.382124461059</v>
      </c>
      <c r="L44" s="1">
        <v>169.80209163049244</v>
      </c>
      <c r="M44" s="3">
        <v>4</v>
      </c>
      <c r="N44" s="4">
        <f>SQRT(VLOOKUP(M44,Table3[#All],2,FALSE)^2 + VLOOKUP(H44,Table1[#All],2,FALSE)^2)</f>
        <v>15.52649516149733</v>
      </c>
      <c r="O44">
        <f>VLOOKUP(M44,Table3[#All],3,FALSE)</f>
        <v>2E-3</v>
      </c>
      <c r="P44" s="1">
        <f t="shared" si="0"/>
        <v>3310.3014544326315</v>
      </c>
      <c r="Q44" s="1">
        <f t="shared" si="1"/>
        <v>32892.08067002843</v>
      </c>
      <c r="R44" s="1">
        <f t="shared" si="2"/>
        <v>514.76238027765282</v>
      </c>
      <c r="S44" s="1">
        <f>((Table4[[#This Row],[deviation]]/$C$2)*1000000000)/2</f>
        <v>3.3366416468926441E-3</v>
      </c>
    </row>
    <row r="45" spans="8:35" x14ac:dyDescent="0.25">
      <c r="H45" t="s">
        <v>7</v>
      </c>
      <c r="I45" s="1">
        <v>-86.82</v>
      </c>
      <c r="J45" s="1">
        <v>-99.97</v>
      </c>
      <c r="K45" s="1">
        <v>38226.094484418289</v>
      </c>
      <c r="L45" s="1">
        <v>179.29402479659848</v>
      </c>
      <c r="M45" s="3">
        <v>5</v>
      </c>
      <c r="N45" s="4">
        <f>SQRT(VLOOKUP(M45,Table3[#All],2,FALSE)^2 + VLOOKUP(H45,Table1[#All],2,FALSE)^2)</f>
        <v>25.227304751003423</v>
      </c>
      <c r="O45">
        <f>VLOOKUP(M45,Table3[#All],3,FALSE)</f>
        <v>2E-3</v>
      </c>
      <c r="P45" s="1">
        <f t="shared" si="0"/>
        <v>5378.5469766383776</v>
      </c>
      <c r="Q45" s="1">
        <f t="shared" si="1"/>
        <v>32847.547507779913</v>
      </c>
      <c r="R45" s="1">
        <f t="shared" si="2"/>
        <v>514.06543450428228</v>
      </c>
      <c r="S45" s="1">
        <f>((Table4[[#This Row],[deviation]]/$C$2)*1000000000)/2</f>
        <v>3.3366416468926441E-3</v>
      </c>
    </row>
    <row r="46" spans="8:35" x14ac:dyDescent="0.25">
      <c r="H46" t="s">
        <v>7</v>
      </c>
      <c r="I46" s="1">
        <v>-88.19</v>
      </c>
      <c r="J46" s="1">
        <v>-95.28</v>
      </c>
      <c r="K46" s="1">
        <v>40280.472552007588</v>
      </c>
      <c r="L46" s="1">
        <v>188.92979107510456</v>
      </c>
      <c r="M46" s="3">
        <v>6</v>
      </c>
      <c r="N46" s="4">
        <f>SQRT(VLOOKUP(M46,Table3[#All],2,FALSE)^2 + VLOOKUP(H46,Table1[#All],2,FALSE)^2)</f>
        <v>34.566222414374415</v>
      </c>
      <c r="O46">
        <f>VLOOKUP(M46,Table3[#All],3,FALSE)</f>
        <v>0.05</v>
      </c>
      <c r="P46" s="1">
        <f t="shared" si="0"/>
        <v>7369.6359121855212</v>
      </c>
      <c r="Q46" s="1">
        <f t="shared" si="1"/>
        <v>32910.836639822068</v>
      </c>
      <c r="R46" s="1">
        <f t="shared" si="2"/>
        <v>515.05591195636441</v>
      </c>
      <c r="S46" s="1">
        <f>((Table4[[#This Row],[deviation]]/$C$2)*1000000000)/2</f>
        <v>8.3416041172316102E-2</v>
      </c>
    </row>
    <row r="47" spans="8:35" x14ac:dyDescent="0.25">
      <c r="H47" t="s">
        <v>7</v>
      </c>
      <c r="I47" s="1">
        <v>-91.21</v>
      </c>
      <c r="J47" s="1">
        <v>-99.655000000000001</v>
      </c>
      <c r="K47" s="1">
        <v>41595.262864908742</v>
      </c>
      <c r="L47" s="1">
        <v>195.09662684902116</v>
      </c>
      <c r="M47" s="3">
        <v>7</v>
      </c>
      <c r="N47" s="4">
        <f>SQRT(VLOOKUP(M47,Table3[#All],2,FALSE)^2 + VLOOKUP(H47,Table1[#All],2,FALSE)^2)</f>
        <v>40.788188486374331</v>
      </c>
      <c r="O47">
        <f>VLOOKUP(M47,Table3[#All],3,FALSE)</f>
        <v>0.05</v>
      </c>
      <c r="P47" s="1">
        <f t="shared" si="0"/>
        <v>8696.1801917114844</v>
      </c>
      <c r="Q47" s="1">
        <f t="shared" si="1"/>
        <v>32899.082673197256</v>
      </c>
      <c r="R47" s="1">
        <f t="shared" si="2"/>
        <v>514.87196190777388</v>
      </c>
      <c r="S47" s="1">
        <f>((Table4[[#This Row],[deviation]]/$C$2)*1000000000)/2</f>
        <v>8.3416041172316102E-2</v>
      </c>
    </row>
    <row r="48" spans="8:35" x14ac:dyDescent="0.25">
      <c r="H48" t="s">
        <v>7</v>
      </c>
      <c r="I48" s="1">
        <v>-95.1</v>
      </c>
      <c r="J48" s="1">
        <v>-99.56</v>
      </c>
      <c r="K48" s="1">
        <v>43617.120880645503</v>
      </c>
      <c r="L48" s="1">
        <v>204.57986247897739</v>
      </c>
      <c r="M48" s="3">
        <v>8</v>
      </c>
      <c r="N48" s="4">
        <f>SQRT(VLOOKUP(M48,Table3[#All],2,FALSE)^2 + VLOOKUP(H48,Table1[#All],2,FALSE)^2)</f>
        <v>49.890154098779846</v>
      </c>
      <c r="O48">
        <f>VLOOKUP(M48,Table3[#All],3,FALSE)</f>
        <v>0.1</v>
      </c>
      <c r="P48" s="1">
        <f t="shared" si="0"/>
        <v>10636.750145944226</v>
      </c>
      <c r="Q48" s="1">
        <f t="shared" si="1"/>
        <v>32980.370734701275</v>
      </c>
      <c r="R48" s="1">
        <f t="shared" si="2"/>
        <v>516.14412332704501</v>
      </c>
      <c r="S48" s="1">
        <f>((Table4[[#This Row],[deviation]]/$C$2)*1000000000)/2</f>
        <v>0.1668320823446322</v>
      </c>
    </row>
    <row r="49" spans="8:19" x14ac:dyDescent="0.25">
      <c r="H49" t="s">
        <v>7</v>
      </c>
      <c r="I49" s="1">
        <v>-95.76</v>
      </c>
      <c r="J49" s="1">
        <v>-111.19</v>
      </c>
      <c r="K49" s="1">
        <v>45304.98814959314</v>
      </c>
      <c r="L49" s="1">
        <v>212.49656231592832</v>
      </c>
      <c r="M49" s="3">
        <v>9</v>
      </c>
      <c r="N49" s="4">
        <f>SQRT(VLOOKUP(M49,Table3[#All],2,FALSE)^2 + VLOOKUP(H49,Table1[#All],2,FALSE)^2)</f>
        <v>57.868132853929197</v>
      </c>
      <c r="O49">
        <f>VLOOKUP(M49,Table3[#All],3,FALSE)</f>
        <v>0.1</v>
      </c>
      <c r="P49" s="1">
        <f t="shared" si="0"/>
        <v>12337.682288189306</v>
      </c>
      <c r="Q49" s="1">
        <f t="shared" si="1"/>
        <v>32967.305861403831</v>
      </c>
      <c r="R49" s="1">
        <f t="shared" si="2"/>
        <v>515.93965753650764</v>
      </c>
      <c r="S49" s="1">
        <f>((Table4[[#This Row],[deviation]]/$C$2)*1000000000)/2</f>
        <v>0.1668320823446322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1CA-F75B-485D-994E-9CE9319A9343}">
  <dimension ref="C2:J12"/>
  <sheetViews>
    <sheetView workbookViewId="0">
      <selection activeCell="G42" sqref="G42"/>
    </sheetView>
  </sheetViews>
  <sheetFormatPr defaultRowHeight="15" x14ac:dyDescent="0.25"/>
  <sheetData>
    <row r="2" spans="3:10" x14ac:dyDescent="0.25">
      <c r="C2" t="s">
        <v>3</v>
      </c>
    </row>
    <row r="3" spans="3:10" x14ac:dyDescent="0.25">
      <c r="D3" t="s">
        <v>29</v>
      </c>
      <c r="E3" t="s">
        <v>30</v>
      </c>
      <c r="F3" t="s">
        <v>25</v>
      </c>
      <c r="G3" t="s">
        <v>26</v>
      </c>
      <c r="H3" t="s">
        <v>27</v>
      </c>
      <c r="I3" t="s">
        <v>31</v>
      </c>
      <c r="J3" t="s">
        <v>28</v>
      </c>
    </row>
    <row r="4" spans="3:10" x14ac:dyDescent="0.25">
      <c r="D4">
        <v>-81.22</v>
      </c>
      <c r="E4">
        <v>-91.754999999999995</v>
      </c>
      <c r="F4">
        <v>33102.907098380922</v>
      </c>
      <c r="G4" s="1">
        <v>155.2644476551454</v>
      </c>
      <c r="H4" s="1">
        <v>1.3186300656363028</v>
      </c>
      <c r="I4">
        <v>2E-3</v>
      </c>
      <c r="J4" s="1">
        <v>513.66202633409421</v>
      </c>
    </row>
    <row r="5" spans="3:10" x14ac:dyDescent="0.25">
      <c r="D5">
        <v>-84.27000000000001</v>
      </c>
      <c r="E5">
        <v>-94.64500000000001</v>
      </c>
      <c r="F5">
        <v>33778.410789746253</v>
      </c>
      <c r="G5" s="1">
        <v>158.43280103320805</v>
      </c>
      <c r="H5" s="1">
        <v>4.4303206712381433</v>
      </c>
      <c r="I5">
        <v>2E-3</v>
      </c>
      <c r="J5" s="1">
        <v>513.85108970051544</v>
      </c>
    </row>
    <row r="6" spans="3:10" x14ac:dyDescent="0.25">
      <c r="D6">
        <v>-83.86</v>
      </c>
      <c r="E6">
        <v>-91.8</v>
      </c>
      <c r="F6">
        <v>34250.401499199077</v>
      </c>
      <c r="G6" s="1">
        <v>160.64660589885801</v>
      </c>
      <c r="H6" s="1">
        <v>6.5952228923668681</v>
      </c>
      <c r="I6">
        <v>2E-3</v>
      </c>
      <c r="J6" s="1">
        <v>514.01426030086805</v>
      </c>
    </row>
    <row r="7" spans="3:10" x14ac:dyDescent="0.25">
      <c r="D7">
        <v>-88.54</v>
      </c>
      <c r="E7">
        <v>-96.78</v>
      </c>
      <c r="F7">
        <v>36185.52835448923</v>
      </c>
      <c r="G7" s="1">
        <v>169.72304143475566</v>
      </c>
      <c r="H7" s="1">
        <v>15.526519410350796</v>
      </c>
      <c r="I7">
        <v>2E-3</v>
      </c>
      <c r="J7" s="1">
        <v>514.49853719262808</v>
      </c>
    </row>
    <row r="8" spans="3:10" x14ac:dyDescent="0.25">
      <c r="D8">
        <v>-84.484999999999999</v>
      </c>
      <c r="E8">
        <v>-91.68</v>
      </c>
      <c r="F8">
        <v>38225.029607678975</v>
      </c>
      <c r="G8" s="1">
        <v>179.28903014467085</v>
      </c>
      <c r="H8" s="1">
        <v>25.22731967530439</v>
      </c>
      <c r="I8">
        <v>2E-3</v>
      </c>
      <c r="J8" s="1">
        <v>514.04871934360449</v>
      </c>
    </row>
    <row r="9" spans="3:10" x14ac:dyDescent="0.25">
      <c r="D9">
        <v>-85.775000000000006</v>
      </c>
      <c r="E9">
        <v>-91.85</v>
      </c>
      <c r="F9">
        <v>40231.998070896429</v>
      </c>
      <c r="G9" s="1">
        <v>188.7024284597087</v>
      </c>
      <c r="H9" s="1">
        <v>34.566233306508828</v>
      </c>
      <c r="I9">
        <v>0.05</v>
      </c>
      <c r="J9" s="1">
        <v>514.29724804173873</v>
      </c>
    </row>
    <row r="10" spans="3:10" x14ac:dyDescent="0.25">
      <c r="D10">
        <v>-88.27</v>
      </c>
      <c r="E10">
        <v>-91.86</v>
      </c>
      <c r="F10">
        <v>41569.2646262091</v>
      </c>
      <c r="G10" s="1">
        <v>194.97468583158394</v>
      </c>
      <c r="H10" s="1">
        <v>40.788197716986708</v>
      </c>
      <c r="I10">
        <v>0.05</v>
      </c>
      <c r="J10" s="1">
        <v>514.46505763128278</v>
      </c>
    </row>
    <row r="11" spans="3:10" x14ac:dyDescent="0.25">
      <c r="D11">
        <v>-88.68</v>
      </c>
      <c r="E11">
        <v>-95.05</v>
      </c>
      <c r="F11">
        <v>43568.007763956128</v>
      </c>
      <c r="G11" s="1">
        <v>204.34950443481119</v>
      </c>
      <c r="H11" s="1">
        <v>49.890161645358496</v>
      </c>
      <c r="I11">
        <v>0.1</v>
      </c>
      <c r="J11" s="1">
        <v>515.3754759029548</v>
      </c>
    </row>
    <row r="12" spans="3:10" x14ac:dyDescent="0.25">
      <c r="D12">
        <v>-91.65</v>
      </c>
      <c r="E12">
        <v>-100.21</v>
      </c>
      <c r="F12">
        <v>45281.014258913201</v>
      </c>
      <c r="G12" s="1">
        <v>212.38411621312824</v>
      </c>
      <c r="H12" s="1">
        <v>57.868139360100393</v>
      </c>
      <c r="I12">
        <v>0.1</v>
      </c>
      <c r="J12" s="1">
        <v>515.56444347811248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1 2 1 4 0 a - 4 1 f c - 4 2 c 0 - 8 0 c a - 6 e 1 9 e a 0 7 e 4 e 3 "   x m l n s = " h t t p : / / s c h e m a s . m i c r o s o f t . c o m / D a t a M a s h u p " > A A A A A E Q F A A B Q S w M E F A A C A A g A X J G d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X J G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R n V g X C x F Z P g I A A M w h A A A T A B w A R m 9 y b X V s Y X M v U 2 V j d G l v b j E u b S C i G A A o o B Q A A A A A A A A A A A A A A A A A A A A A A A A A A A D t l l t v 2 j A U x 9 + R + A 6 W + x I k K 1 o C 9 L I p D x s U 7 a l j h V 2 k Z q p M O K O Z E q e y H d Q q 4 r v P I Y E k F N S y z X u p e Y j h b + f c f H 5 H C A h k m D A 0 K V b n X b v V b o k 7 y m G O T j B d A q c L E M h y O h h 5 K A L Z b i H 1 m S Q p D 0 A p A 7 G 0 h 0 m Q x s C k N Q o j s A c J k + q H s P D w r Z 8 r w h / z 5 J e y L / z L y f j 2 y 7 c P m / U 2 o F E 4 8 x 1 / 4 8 c O x B J 3 y M 0 Q o j A O J X A P E 0 z Q I I n S m A m v T 9 A l C 5 J 5 y B a e 4 / b f E P Q 5 T S R M 5 G M E X v X V v k o Y / O i Q I t Q T r N z H a m + O P g K d A x d 5 J l M 6 U w f L n V K 3 i q w I u i n 1 9 1 E 0 U S F S L j z J 0 7 r J a 7 i P a K B M f q V R C k 5 l s d x Y y 9 Y e 1 w T b e U q Y l A f 5 5 o 0 p P E i S 4 S s a g 8 o Y X 3 / P n 6 N x / p x + G u X L P B Q S r 6 o Y B n e U L Z T p 6 e M 9 V A F M O W X i Z 8 L j o m j 5 p r C e B k y y r P A h 1 Q H E 0 n g G f E V Q V r j c F Y s I d t V 1 Q E 1 5 1 W m 3 Q r Y 3 w k O d 5 W r s L F d z Z x 1 x B W V v q b I X q r O p n F Q X v y 5 n o b s H 9 O 4 B v X d A 7 z f 0 1 R / Q s J P e S 7 C o v + A 8 2 5 N P 4 c i 2 A D R T q j p 1 K 1 V 9 u p V q X b r V 6 j 2 6 W 4 k m E w c Z b i b 1 H M B H g u s e S e 7 / B 9 d t k L v l 1 i C r H d m j R 2 l X 4 y j t m n s x o / Q 1 j 9 I 9 Q 3 P / h H 3 p K K 2 T 2 9 N I b s + Q a 8 h 9 z e T + 8 z 9 B d X L 7 G s n t G 3 I N u Y Z c T e S e a i T 3 1 J B r y D X k a i L 3 T C O 5 Z 4 Z c Q 6 4 h V x O 5 5 x r J P T f k G n I N u Z r I v d B I 7 o U h 1 5 B r y P 1 b c n 8 D U E s B A i 0 A F A A C A A g A X J G d W H q S o / C k A A A A 9 g A A A B I A A A A A A A A A A A A A A A A A A A A A A E N v b m Z p Z y 9 Q Y W N r Y W d l L n h t b F B L A Q I t A B Q A A g A I A F y R n V g P y u m r p A A A A O k A A A A T A A A A A A A A A A A A A A A A A P A A A A B b Q 2 9 u d G V u d F 9 U e X B l c 1 0 u e G 1 s U E s B A i 0 A F A A C A A g A X J G d W B c L E V k + A g A A z C E A A B M A A A A A A A A A A A A A A A A A 4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U A A A A A A A C L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Z l c m F n Z X M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V i Z m R j M i 0 5 M T Y 0 L T Q 5 Y T U t O G N m O S 0 z M 2 Y 4 N z I 1 M j l k Z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2 Z X J h Z 2 V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T Y 6 M D g 6 M T M u O D Y 0 O T c 2 M V o i I C 8 + P E V u d H J 5 I F R 5 c G U 9 I k Z p b G x D b 2 x 1 b W 5 U e X B l c y I g V m F s d W U 9 I n N C Z 1 V G Q l F V P S I g L z 4 8 R W 5 0 c n k g V H l w Z T 0 i R m l s b E N v b H V t b k 5 h b W V z I i B W Y W x 1 Z T 0 i c 1 s m c X V v d D t O Y W 1 l J n F 1 b 3 Q 7 L C Z x d W 9 0 O 1 J Y J n F 1 b 3 Q 7 L C Z x d W 9 0 O 0 Z Q J n F 1 b 3 Q 7 L C Z x d W 9 0 O 1 R P R i Z x d W 9 0 O y w m c X V v d D t k a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M g K D E p L 0 F 1 d G 9 S Z W 1 v d m V k Q 2 9 s d W 1 u c z E u e 0 5 h b W U s M H 0 m c X V v d D s s J n F 1 b 3 Q 7 U 2 V j d G l v b j E v Y X Z l c m F n Z X M g K D E p L 0 F 1 d G 9 S Z W 1 v d m V k Q 2 9 s d W 1 u c z E u e 1 J Y L D F 9 J n F 1 b 3 Q 7 L C Z x d W 9 0 O 1 N l Y 3 R p b 2 4 x L 2 F 2 Z X J h Z 2 V z I C g x K S 9 B d X R v U m V t b 3 Z l Z E N v b H V t b n M x L n t G U C w y f S Z x d W 9 0 O y w m c X V v d D t T Z W N 0 a W 9 u M S 9 h d m V y Y W d l c y A o M S k v Q X V 0 b 1 J l b W 9 2 Z W R D b 2 x 1 b W 5 z M S 5 7 V E 9 G L D N 9 J n F 1 b 3 Q 7 L C Z x d W 9 0 O 1 N l Y 3 R p b 2 4 x L 2 F 2 Z X J h Z 2 V z I C g x K S 9 B d X R v U m V t b 3 Z l Z E N v b H V t b n M x L n t k a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2 Z X J h Z 2 V z I C g x K S 9 B d X R v U m V t b 3 Z l Z E N v b H V t b n M x L n t O Y W 1 l L D B 9 J n F 1 b 3 Q 7 L C Z x d W 9 0 O 1 N l Y 3 R p b 2 4 x L 2 F 2 Z X J h Z 2 V z I C g x K S 9 B d X R v U m V t b 3 Z l Z E N v b H V t b n M x L n t S W C w x f S Z x d W 9 0 O y w m c X V v d D t T Z W N 0 a W 9 u M S 9 h d m V y Y W d l c y A o M S k v Q X V 0 b 1 J l b W 9 2 Z W R D b 2 x 1 b W 5 z M S 5 7 R l A s M n 0 m c X V v d D s s J n F 1 b 3 Q 7 U 2 V j d G l v b j E v Y X Z l c m F n Z X M g K D E p L 0 F 1 d G 9 S Z W 1 v d m V k Q 2 9 s d W 1 u c z E u e 1 R P R i w z f S Z x d W 9 0 O y w m c X V v d D t T Z W N 0 a W 9 u M S 9 h d m V y Y W d l c y A o M S k v Q X V 0 b 1 J l b W 9 2 Z W R D b 2 x 1 b W 5 z M S 5 7 Z G l z d C w 0 f S Z x d W 9 0 O 1 0 s J n F 1 b 3 Q 7 U m V s Y X R p b 2 5 z a G l w S W 5 m b y Z x d W 9 0 O z p b X X 0 i I C 8 + P E V u d H J 5 I F R 5 c G U 9 I l J l Y 2 9 2 Z X J 5 V G F y Z 2 V 0 U 2 h l Z X Q i I F Z h b H V l P S J z Y X Z l c m F n Z X M i I C 8 + P E V u d H J 5 I F R 5 c G U 9 I l J l Y 2 9 2 Z X J 5 V G F y Z 2 V 0 Q 2 9 s d W 1 u I i B W Y W x 1 Z T 0 i b D I i I C 8 + P E V u d H J 5 I F R 5 c G U 9 I l J l Y 2 9 2 Z X J 5 V G F y Z 2 V 0 U m 9 3 I i B W Y W x 1 Z T 0 i b D I i I C 8 + P C 9 T d G F i b G V F b n R y a W V z P j w v S X R l b T 4 8 S X R l b T 4 8 S X R l b U x v Y 2 F 0 a W 9 u P j x J d G V t V H l w Z T 5 G b 3 J t d W x h P C 9 J d G V t V H l w Z T 4 8 S X R l b V B h d G g + U 2 V j d G l v b j E v Y X Z l c m F n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M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O T M 5 N D Q w L W N m Z j M t N G I 4 N C 1 i M m E 3 L T A 5 N W I 2 N j l k N D g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X Z l c m F n Z X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M g K D I p L 0 F 1 d G 9 S Z W 1 v d m V k Q 2 9 s d W 1 u c z E u e 0 5 h b W U s M H 0 m c X V v d D s s J n F 1 b 3 Q 7 U 2 V j d G l v b j E v Y X Z l c m F n Z X M g K D I p L 0 F 1 d G 9 S Z W 1 v d m V k Q 2 9 s d W 1 u c z E u e 1 J Y L D F 9 J n F 1 b 3 Q 7 L C Z x d W 9 0 O 1 N l Y 3 R p b 2 4 x L 2 F 2 Z X J h Z 2 V z I C g y K S 9 B d X R v U m V t b 3 Z l Z E N v b H V t b n M x L n t G U C w y f S Z x d W 9 0 O y w m c X V v d D t T Z W N 0 a W 9 u M S 9 h d m V y Y W d l c y A o M i k v Q X V 0 b 1 J l b W 9 2 Z W R D b 2 x 1 b W 5 z M S 5 7 V E 9 G L D N 9 J n F 1 b 3 Q 7 L C Z x d W 9 0 O 1 N l Y 3 R p b 2 4 x L 2 F 2 Z X J h Z 2 V z I C g y K S 9 B d X R v U m V t b 3 Z l Z E N v b H V t b n M x L n t k a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2 Z X J h Z 2 V z I C g y K S 9 B d X R v U m V t b 3 Z l Z E N v b H V t b n M x L n t O Y W 1 l L D B 9 J n F 1 b 3 Q 7 L C Z x d W 9 0 O 1 N l Y 3 R p b 2 4 x L 2 F 2 Z X J h Z 2 V z I C g y K S 9 B d X R v U m V t b 3 Z l Z E N v b H V t b n M x L n t S W C w x f S Z x d W 9 0 O y w m c X V v d D t T Z W N 0 a W 9 u M S 9 h d m V y Y W d l c y A o M i k v Q X V 0 b 1 J l b W 9 2 Z W R D b 2 x 1 b W 5 z M S 5 7 R l A s M n 0 m c X V v d D s s J n F 1 b 3 Q 7 U 2 V j d G l v b j E v Y X Z l c m F n Z X M g K D I p L 0 F 1 d G 9 S Z W 1 v d m V k Q 2 9 s d W 1 u c z E u e 1 R P R i w z f S Z x d W 9 0 O y w m c X V v d D t T Z W N 0 a W 9 u M S 9 h d m V y Y W d l c y A o M i k v Q X V 0 b 1 J l b W 9 2 Z W R D b 2 x 1 b W 5 z M S 5 7 Z G l z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W C Z x d W 9 0 O y w m c X V v d D t G U C Z x d W 9 0 O y w m c X V v d D t U T 0 Y m c X V v d D s s J n F 1 b 3 Q 7 Z G l z d C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Q t M j l U M T Y 6 M D g 6 M z E u M z g x N T I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S b 3 c i I F Z h b H V l P S J s O S I g L z 4 8 R W 5 0 c n k g V H l w Z T 0 i U m V j b 3 Z l c n l U Y X J n Z X R D b 2 x 1 b W 4 i I F Z h b H V l P S J s M i I g L z 4 8 R W 5 0 c n k g V H l w Z T 0 i U m V j b 3 Z l c n l U Y X J n Z X R T a G V l d C I g V m F s d W U 9 I n N h d m V y Y W d l c y I g L z 4 8 L 1 N 0 Y W J s Z U V u d H J p Z X M + P C 9 J d G V t P j x J d G V t P j x J d G V t T G 9 j Y X R p b 2 4 + P E l 0 Z W 1 U e X B l P k Z v c m 1 1 b G E 8 L 0 l 0 Z W 1 U e X B l P j x J d G V t U G F 0 a D 5 T Z W N 0 a W 9 u M S 9 h d m V y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I 3 M D Q w O S 0 4 O W Y x L T R i M W E t Y T U 5 M S 0 y Z m Y 2 N D R j O D l j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T Y 6 M D M 6 M T k u N z I x M z c 4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y 9 B d X R v U m V t b 3 Z l Z E N v b H V t b n M x L n t D b 2 x 1 b W 4 x L D B 9 J n F 1 b 3 Q 7 L C Z x d W 9 0 O 1 N l Y 3 R p b 2 4 x L 2 F 2 Z X J h Z 2 V z L 0 F 1 d G 9 S Z W 1 v d m V k Q 2 9 s d W 1 u c z E u e 0 N v b H V t b j I s M X 0 m c X V v d D s s J n F 1 b 3 Q 7 U 2 V j d G l v b j E v Y X Z l c m F n Z X M v Q X V 0 b 1 J l b W 9 2 Z W R D b 2 x 1 b W 5 z M S 5 7 Q 2 9 s d W 1 u M y w y f S Z x d W 9 0 O y w m c X V v d D t T Z W N 0 a W 9 u M S 9 h d m V y Y W d l c y 9 B d X R v U m V t b 3 Z l Z E N v b H V t b n M x L n t D b 2 x 1 b W 4 0 L D N 9 J n F 1 b 3 Q 7 L C Z x d W 9 0 O 1 N l Y 3 R p b 2 4 x L 2 F 2 Z X J h Z 2 V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Z l c m F n Z X M v Q X V 0 b 1 J l b W 9 2 Z W R D b 2 x 1 b W 5 z M S 5 7 Q 2 9 s d W 1 u M S w w f S Z x d W 9 0 O y w m c X V v d D t T Z W N 0 a W 9 u M S 9 h d m V y Y W d l c y 9 B d X R v U m V t b 3 Z l Z E N v b H V t b n M x L n t D b 2 x 1 b W 4 y L D F 9 J n F 1 b 3 Q 7 L C Z x d W 9 0 O 1 N l Y 3 R p b 2 4 x L 2 F 2 Z X J h Z 2 V z L 0 F 1 d G 9 S Z W 1 v d m V k Q 2 9 s d W 1 u c z E u e 0 N v b H V t b j M s M n 0 m c X V v d D s s J n F 1 b 3 Q 7 U 2 V j d G l v b j E v Y X Z l c m F n Z X M v Q X V 0 b 1 J l b W 9 2 Z W R D b 2 x 1 b W 5 z M S 5 7 Q 2 9 s d W 1 u N C w z f S Z x d W 9 0 O y w m c X V v d D t T Z W N 0 a W 9 u M S 9 h d m V y Y W d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z Y 2 V m Y T l i L T I 4 M G I t N G Q 5 O S 0 4 Z m Q 3 L T Y 4 M G E 1 N z M 0 O T U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Z l c m F n Z X N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M g K D M p L 0 F 1 d G 9 S Z W 1 v d m V k Q 2 9 s d W 1 u c z E u e 0 5 h b W U s M H 0 m c X V v d D s s J n F 1 b 3 Q 7 U 2 V j d G l v b j E v Y X Z l c m F n Z X M g K D M p L 0 F 1 d G 9 S Z W 1 v d m V k Q 2 9 s d W 1 u c z E u e 1 J Y L D F 9 J n F 1 b 3 Q 7 L C Z x d W 9 0 O 1 N l Y 3 R p b 2 4 x L 2 F 2 Z X J h Z 2 V z I C g z K S 9 B d X R v U m V t b 3 Z l Z E N v b H V t b n M x L n t G U C w y f S Z x d W 9 0 O y w m c X V v d D t T Z W N 0 a W 9 u M S 9 h d m V y Y W d l c y A o M y k v Q X V 0 b 1 J l b W 9 2 Z W R D b 2 x 1 b W 5 z M S 5 7 V E 9 G L D N 9 J n F 1 b 3 Q 7 L C Z x d W 9 0 O 1 N l Y 3 R p b 2 4 x L 2 F 2 Z X J h Z 2 V z I C g z K S 9 B d X R v U m V t b 3 Z l Z E N v b H V t b n M x L n t k a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2 Z X J h Z 2 V z I C g z K S 9 B d X R v U m V t b 3 Z l Z E N v b H V t b n M x L n t O Y W 1 l L D B 9 J n F 1 b 3 Q 7 L C Z x d W 9 0 O 1 N l Y 3 R p b 2 4 x L 2 F 2 Z X J h Z 2 V z I C g z K S 9 B d X R v U m V t b 3 Z l Z E N v b H V t b n M x L n t S W C w x f S Z x d W 9 0 O y w m c X V v d D t T Z W N 0 a W 9 u M S 9 h d m V y Y W d l c y A o M y k v Q X V 0 b 1 J l b W 9 2 Z W R D b 2 x 1 b W 5 z M S 5 7 R l A s M n 0 m c X V v d D s s J n F 1 b 3 Q 7 U 2 V j d G l v b j E v Y X Z l c m F n Z X M g K D M p L 0 F 1 d G 9 S Z W 1 v d m V k Q 2 9 s d W 1 u c z E u e 1 R P R i w z f S Z x d W 9 0 O y w m c X V v d D t T Z W N 0 a W 9 u M S 9 h d m V y Y W d l c y A o M y k v Q X V 0 b 1 J l b W 9 2 Z W R D b 2 x 1 b W 5 z M S 5 7 Z G l z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W C Z x d W 9 0 O y w m c X V v d D t G U C Z x d W 9 0 O y w m c X V v d D t U T 0 Y m c X V v d D s s J n F 1 b 3 Q 7 Z G l z d C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Q t M j l U M T Y 6 M D g 6 N D M u O T c 4 M j Y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h d m V y Y W d l c y I g L z 4 8 R W 5 0 c n k g V H l w Z T 0 i U m V j b 3 Z l c n l U Y X J n Z X R D b 2 x 1 b W 4 i I F Z h b H V l P S J s M i I g L z 4 8 R W 5 0 c n k g V H l w Z T 0 i U m V j b 3 Z l c n l U Y X J n Z X R S b 3 c i I F Z h b H V l P S J s M T c i I C 8 + P C 9 T d G F i b G V F b n R y a W V z P j w v S X R l b T 4 8 S X R l b T 4 8 S X R l b U x v Y 2 F 0 a W 9 u P j x J d G V t V H l w Z T 5 G b 3 J t d W x h P C 9 J d G V t V H l w Z T 4 8 S X R l b V B h d G g + U 2 V j d G l v b j E v Y X Z l c m F n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T c y O D A 4 Z C 0 4 N z k w L T Q 1 M T M t Y j N h M y 1 i Z j c 0 M T Y w Y z F k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2 Z X J h Z 2 V z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z I C g 0 K S 9 B d X R v U m V t b 3 Z l Z E N v b H V t b n M x L n t O Y W 1 l L D B 9 J n F 1 b 3 Q 7 L C Z x d W 9 0 O 1 N l Y 3 R p b 2 4 x L 2 F 2 Z X J h Z 2 V z I C g 0 K S 9 B d X R v U m V t b 3 Z l Z E N v b H V t b n M x L n t S W C w x f S Z x d W 9 0 O y w m c X V v d D t T Z W N 0 a W 9 u M S 9 h d m V y Y W d l c y A o N C k v Q X V 0 b 1 J l b W 9 2 Z W R D b 2 x 1 b W 5 z M S 5 7 R l A s M n 0 m c X V v d D s s J n F 1 b 3 Q 7 U 2 V j d G l v b j E v Y X Z l c m F n Z X M g K D Q p L 0 F 1 d G 9 S Z W 1 v d m V k Q 2 9 s d W 1 u c z E u e 1 R P R i w z f S Z x d W 9 0 O y w m c X V v d D t T Z W N 0 a W 9 u M S 9 h d m V y Y W d l c y A o N C k v Q X V 0 b 1 J l b W 9 2 Z W R D b 2 x 1 b W 5 z M S 5 7 Z G l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d m V y Y W d l c y A o N C k v Q X V 0 b 1 J l b W 9 2 Z W R D b 2 x 1 b W 5 z M S 5 7 T m F t Z S w w f S Z x d W 9 0 O y w m c X V v d D t T Z W N 0 a W 9 u M S 9 h d m V y Y W d l c y A o N C k v Q X V 0 b 1 J l b W 9 2 Z W R D b 2 x 1 b W 5 z M S 5 7 U l g s M X 0 m c X V v d D s s J n F 1 b 3 Q 7 U 2 V j d G l v b j E v Y X Z l c m F n Z X M g K D Q p L 0 F 1 d G 9 S Z W 1 v d m V k Q 2 9 s d W 1 u c z E u e 0 Z Q L D J 9 J n F 1 b 3 Q 7 L C Z x d W 9 0 O 1 N l Y 3 R p b 2 4 x L 2 F 2 Z X J h Z 2 V z I C g 0 K S 9 B d X R v U m V t b 3 Z l Z E N v b H V t b n M x L n t U T 0 Y s M 3 0 m c X V v d D s s J n F 1 b 3 Q 7 U 2 V j d G l v b j E v Y X Z l c m F n Z X M g K D Q p L 0 F 1 d G 9 S Z W 1 v d m V k Q 2 9 s d W 1 u c z E u e 2 R p c 3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l g m c X V v d D s s J n F 1 b 3 Q 7 R l A m c X V v d D s s J n F 1 b 3 Q 7 V E 9 G J n F 1 b 3 Q 7 L C Z x d W 9 0 O 2 R p c 3 Q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0 L T I 5 V D E 2 O j A 5 O j Q w L j g z M D g z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Y 2 9 2 Z X J 5 V G F y Z 2 V 0 U 2 h l Z X Q i I F Z h b H V l P S J z Y X Z l c m F n Z X M i I C 8 + P E V u d H J 5 I F R 5 c G U 9 I l J l Y 2 9 2 Z X J 5 V G F y Z 2 V 0 Q 2 9 s d W 1 u I i B W Y W x 1 Z T 0 i b D I i I C 8 + P E V u d H J 5 I F R 5 c G U 9 I l J l Y 2 9 2 Z X J 5 V G F y Z 2 V 0 U m 9 3 I i B W Y W x 1 Z T 0 i b D I 2 I i A v P j w v U 3 R h Y m x l R W 5 0 c m l l c z 4 8 L 0 l 0 Z W 0 + P E l 0 Z W 0 + P E l 0 Z W 1 M b 2 N h d G l v b j 4 8 S X R l b V R 5 c G U + R m 9 y b X V s Y T w v S X R l b V R 5 c G U + P E l 0 Z W 1 Q Y X R o P l N l Y 3 R p b 2 4 x L 2 F 2 Z X J h Z 2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Q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z Z T U z Z j Y t N z I 4 Z i 0 0 Z j M y L W I 0 M z U t N D A y M j B k N j F h M j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V y Y W d l c 1 9 f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y A o N S k v Q X V 0 b 1 J l b W 9 2 Z W R D b 2 x 1 b W 5 z M S 5 7 T m F t Z S w w f S Z x d W 9 0 O y w m c X V v d D t T Z W N 0 a W 9 u M S 9 h d m V y Y W d l c y A o N S k v Q X V 0 b 1 J l b W 9 2 Z W R D b 2 x 1 b W 5 z M S 5 7 U l g s M X 0 m c X V v d D s s J n F 1 b 3 Q 7 U 2 V j d G l v b j E v Y X Z l c m F n Z X M g K D U p L 0 F 1 d G 9 S Z W 1 v d m V k Q 2 9 s d W 1 u c z E u e 0 Z Q L D J 9 J n F 1 b 3 Q 7 L C Z x d W 9 0 O 1 N l Y 3 R p b 2 4 x L 2 F 2 Z X J h Z 2 V z I C g 1 K S 9 B d X R v U m V t b 3 Z l Z E N v b H V t b n M x L n t U T 0 Y s M 3 0 m c X V v d D s s J n F 1 b 3 Q 7 U 2 V j d G l v b j E v Y X Z l c m F n Z X M g K D U p L 0 F 1 d G 9 S Z W 1 v d m V k Q 2 9 s d W 1 u c z E u e 2 R p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Z l c m F n Z X M g K D U p L 0 F 1 d G 9 S Z W 1 v d m V k Q 2 9 s d W 1 u c z E u e 0 5 h b W U s M H 0 m c X V v d D s s J n F 1 b 3 Q 7 U 2 V j d G l v b j E v Y X Z l c m F n Z X M g K D U p L 0 F 1 d G 9 S Z W 1 v d m V k Q 2 9 s d W 1 u c z E u e 1 J Y L D F 9 J n F 1 b 3 Q 7 L C Z x d W 9 0 O 1 N l Y 3 R p b 2 4 x L 2 F 2 Z X J h Z 2 V z I C g 1 K S 9 B d X R v U m V t b 3 Z l Z E N v b H V t b n M x L n t G U C w y f S Z x d W 9 0 O y w m c X V v d D t T Z W N 0 a W 9 u M S 9 h d m V y Y W d l c y A o N S k v Q X V 0 b 1 J l b W 9 2 Z W R D b 2 x 1 b W 5 z M S 5 7 V E 9 G L D N 9 J n F 1 b 3 Q 7 L C Z x d W 9 0 O 1 N l Y 3 R p b 2 4 x L 2 F 2 Z X J h Z 2 V z I C g 1 K S 9 B d X R v U m V t b 3 Z l Z E N v b H V t b n M x L n t k a X N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J Y J n F 1 b 3 Q 7 L C Z x d W 9 0 O 0 Z Q J n F 1 b 3 Q 7 L C Z x d W 9 0 O 1 R P R i Z x d W 9 0 O y w m c X V v d D t k a X N 0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C 0 y O V Q x N j o w O T o 1 M y 4 3 N D E 1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N v d m V y e V R h c m d l d F N o Z W V 0 I i B W Y W x 1 Z T 0 i c 2 F 2 Z X J h Z 2 V z I i A v P j x F b n R y e S B U e X B l P S J S Z W N v d m V y e V R h c m d l d E N v b H V t b i I g V m F s d W U 9 I m w y I i A v P j x F b n R y e S B U e X B l P S J S Z W N v d m V y e V R h c m d l d F J v d y I g V m F s d W U 9 I m w z N C I g L z 4 8 L 1 N 0 Y W J s Z U V u d H J p Z X M + P C 9 J d G V t P j x J d G V t P j x J d G V t T G 9 j Y X R p b 2 4 + P E l 0 Z W 1 U e X B l P k Z v c m 1 1 b G E 8 L 0 l 0 Z W 1 U e X B l P j x J d G V t U G F 0 a D 5 T Z W N 0 a W 9 u M S 9 h d m V y Y W d l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U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1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M m Q 2 M m U 3 L T V l N T M t N D Y 3 M C 1 h Y T c 3 L T Q 4 Y m N l O T c 2 Y 2 N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Z l c m F n Z X N f X z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M g K D Y p L 0 F 1 d G 9 S Z W 1 v d m V k Q 2 9 s d W 1 u c z E u e 0 5 h b W U s M H 0 m c X V v d D s s J n F 1 b 3 Q 7 U 2 V j d G l v b j E v Y X Z l c m F n Z X M g K D Y p L 0 F 1 d G 9 S Z W 1 v d m V k Q 2 9 s d W 1 u c z E u e 1 J Y L D F 9 J n F 1 b 3 Q 7 L C Z x d W 9 0 O 1 N l Y 3 R p b 2 4 x L 2 F 2 Z X J h Z 2 V z I C g 2 K S 9 B d X R v U m V t b 3 Z l Z E N v b H V t b n M x L n t G U C w y f S Z x d W 9 0 O y w m c X V v d D t T Z W N 0 a W 9 u M S 9 h d m V y Y W d l c y A o N i k v Q X V 0 b 1 J l b W 9 2 Z W R D b 2 x 1 b W 5 z M S 5 7 V E 9 G L D N 9 J n F 1 b 3 Q 7 L C Z x d W 9 0 O 1 N l Y 3 R p b 2 4 x L 2 F 2 Z X J h Z 2 V z I C g 2 K S 9 B d X R v U m V t b 3 Z l Z E N v b H V t b n M x L n t k a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2 Z X J h Z 2 V z I C g 2 K S 9 B d X R v U m V t b 3 Z l Z E N v b H V t b n M x L n t O Y W 1 l L D B 9 J n F 1 b 3 Q 7 L C Z x d W 9 0 O 1 N l Y 3 R p b 2 4 x L 2 F 2 Z X J h Z 2 V z I C g 2 K S 9 B d X R v U m V t b 3 Z l Z E N v b H V t b n M x L n t S W C w x f S Z x d W 9 0 O y w m c X V v d D t T Z W N 0 a W 9 u M S 9 h d m V y Y W d l c y A o N i k v Q X V 0 b 1 J l b W 9 2 Z W R D b 2 x 1 b W 5 z M S 5 7 R l A s M n 0 m c X V v d D s s J n F 1 b 3 Q 7 U 2 V j d G l v b j E v Y X Z l c m F n Z X M g K D Y p L 0 F 1 d G 9 S Z W 1 v d m V k Q 2 9 s d W 1 u c z E u e 1 R P R i w z f S Z x d W 9 0 O y w m c X V v d D t T Z W N 0 a W 9 u M S 9 h d m V y Y W d l c y A o N i k v Q X V 0 b 1 J l b W 9 2 Z W R D b 2 x 1 b W 5 z M S 5 7 Z G l z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W C Z x d W 9 0 O y w m c X V v d D t G U C Z x d W 9 0 O y w m c X V v d D t U T 0 Y m c X V v d D s s J n F 1 b 3 Q 7 Z G l z d C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Q t M j l U M T Y 6 M T A 6 M D Q u M T U x M j U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h d m V y Y W d l c y I g L z 4 8 R W 5 0 c n k g V H l w Z T 0 i U m V j b 3 Z l c n l U Y X J n Z X R D b 2 x 1 b W 4 i I F Z h b H V l P S J s M i I g L z 4 8 R W 5 0 c n k g V H l w Z T 0 i U m V j b 3 Z l c n l U Y X J n Z X R S b 3 c i I F Z h b H V l P S J s N D I i I C 8 + P C 9 T d G F i b G V F b n R y a W V z P j w v S X R l b T 4 8 S X R l b T 4 8 S X R l b U x v Y 2 F 0 a W 9 u P j x J d G V t V H l w Z T 5 G b 3 J t d W x h P C 9 J d G V t V H l w Z T 4 8 S X R l b V B h d G g + U 2 V j d G l v b j E v Y X Z l c m F n Z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2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I 1 N T M 4 M S 1 h M G U 5 L T R i N G I t Y T V k Z i 0 2 N W E y N W Z k N j J i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2 Z X J h Z 2 V z X 1 8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z I C g 3 K S 9 B d X R v U m V t b 3 Z l Z E N v b H V t b n M x L n t O Y W 1 l L D B 9 J n F 1 b 3 Q 7 L C Z x d W 9 0 O 1 N l Y 3 R p b 2 4 x L 2 F 2 Z X J h Z 2 V z I C g 3 K S 9 B d X R v U m V t b 3 Z l Z E N v b H V t b n M x L n t S W C w x f S Z x d W 9 0 O y w m c X V v d D t T Z W N 0 a W 9 u M S 9 h d m V y Y W d l c y A o N y k v Q X V 0 b 1 J l b W 9 2 Z W R D b 2 x 1 b W 5 z M S 5 7 R l A s M n 0 m c X V v d D s s J n F 1 b 3 Q 7 U 2 V j d G l v b j E v Y X Z l c m F n Z X M g K D c p L 0 F 1 d G 9 S Z W 1 v d m V k Q 2 9 s d W 1 u c z E u e 1 R P R i w z f S Z x d W 9 0 O y w m c X V v d D t T Z W N 0 a W 9 u M S 9 h d m V y Y W d l c y A o N y k v Q X V 0 b 1 J l b W 9 2 Z W R D b 2 x 1 b W 5 z M S 5 7 Z G l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d m V y Y W d l c y A o N y k v Q X V 0 b 1 J l b W 9 2 Z W R D b 2 x 1 b W 5 z M S 5 7 T m F t Z S w w f S Z x d W 9 0 O y w m c X V v d D t T Z W N 0 a W 9 u M S 9 h d m V y Y W d l c y A o N y k v Q X V 0 b 1 J l b W 9 2 Z W R D b 2 x 1 b W 5 z M S 5 7 U l g s M X 0 m c X V v d D s s J n F 1 b 3 Q 7 U 2 V j d G l v b j E v Y X Z l c m F n Z X M g K D c p L 0 F 1 d G 9 S Z W 1 v d m V k Q 2 9 s d W 1 u c z E u e 0 Z Q L D J 9 J n F 1 b 3 Q 7 L C Z x d W 9 0 O 1 N l Y 3 R p b 2 4 x L 2 F 2 Z X J h Z 2 V z I C g 3 K S 9 B d X R v U m V t b 3 Z l Z E N v b H V t b n M x L n t U T 0 Y s M 3 0 m c X V v d D s s J n F 1 b 3 Q 7 U 2 V j d G l v b j E v Y X Z l c m F n Z X M g K D c p L 0 F 1 d G 9 S Z W 1 v d m V k Q 2 9 s d W 1 u c z E u e 2 R p c 3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l g m c X V v d D s s J n F 1 b 3 Q 7 R l A m c X V v d D s s J n F 1 b 3 Q 7 V E 9 G J n F 1 b 3 Q 7 L C Z x d W 9 0 O 2 R p c 3 Q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0 L T I 5 V D E 2 O j E w O j E 0 L j U y M z c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Y 2 9 2 Z X J 5 V G F y Z 2 V 0 U 2 h l Z X Q i I F Z h b H V l P S J z Y X Z l c m F n Z X M i I C 8 + P E V u d H J 5 I F R 5 c G U 9 I l J l Y 2 9 2 Z X J 5 V G F y Z 2 V 0 Q 2 9 s d W 1 u I i B W Y W x 1 Z T 0 i b D I i I C 8 + P E V u d H J 5 I F R 5 c G U 9 I l J l Y 2 9 2 Z X J 5 V G F y Z 2 V 0 U m 9 3 I i B W Y W x 1 Z T 0 i b D U w I i A v P j w v U 3 R h Y m x l R W 5 0 c m l l c z 4 8 L 0 l 0 Z W 0 + P E l 0 Z W 0 + P E l 0 Z W 1 M b 2 N h d G l v b j 4 8 S X R l b V R 5 c G U + R m 9 y b X V s Y T w v S X R l b V R 5 c G U + P E l 0 Z W 1 Q Y X R o P l N l Y 3 R p b 2 4 x L 2 F 2 Z X J h Z 2 V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N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c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g z Z G M 3 Y 2 M t M 2 M 4 N i 0 0 Z j d j L T k w N T U t N T g y N m U 5 Y z E 4 M j J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V y Y W d l c 1 9 f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y A o O C k v Q X V 0 b 1 J l b W 9 2 Z W R D b 2 x 1 b W 5 z M S 5 7 T m F t Z S w w f S Z x d W 9 0 O y w m c X V v d D t T Z W N 0 a W 9 u M S 9 h d m V y Y W d l c y A o O C k v Q X V 0 b 1 J l b W 9 2 Z W R D b 2 x 1 b W 5 z M S 5 7 U l g s M X 0 m c X V v d D s s J n F 1 b 3 Q 7 U 2 V j d G l v b j E v Y X Z l c m F n Z X M g K D g p L 0 F 1 d G 9 S Z W 1 v d m V k Q 2 9 s d W 1 u c z E u e 0 Z Q L D J 9 J n F 1 b 3 Q 7 L C Z x d W 9 0 O 1 N l Y 3 R p b 2 4 x L 2 F 2 Z X J h Z 2 V z I C g 4 K S 9 B d X R v U m V t b 3 Z l Z E N v b H V t b n M x L n t U T 0 Y s M 3 0 m c X V v d D s s J n F 1 b 3 Q 7 U 2 V j d G l v b j E v Y X Z l c m F n Z X M g K D g p L 0 F 1 d G 9 S Z W 1 v d m V k Q 2 9 s d W 1 u c z E u e 2 R p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Z l c m F n Z X M g K D g p L 0 F 1 d G 9 S Z W 1 v d m V k Q 2 9 s d W 1 u c z E u e 0 5 h b W U s M H 0 m c X V v d D s s J n F 1 b 3 Q 7 U 2 V j d G l v b j E v Y X Z l c m F n Z X M g K D g p L 0 F 1 d G 9 S Z W 1 v d m V k Q 2 9 s d W 1 u c z E u e 1 J Y L D F 9 J n F 1 b 3 Q 7 L C Z x d W 9 0 O 1 N l Y 3 R p b 2 4 x L 2 F 2 Z X J h Z 2 V z I C g 4 K S 9 B d X R v U m V t b 3 Z l Z E N v b H V t b n M x L n t G U C w y f S Z x d W 9 0 O y w m c X V v d D t T Z W N 0 a W 9 u M S 9 h d m V y Y W d l c y A o O C k v Q X V 0 b 1 J l b W 9 2 Z W R D b 2 x 1 b W 5 z M S 5 7 V E 9 G L D N 9 J n F 1 b 3 Q 7 L C Z x d W 9 0 O 1 N l Y 3 R p b 2 4 x L 2 F 2 Z X J h Z 2 V z I C g 4 K S 9 B d X R v U m V t b 3 Z l Z E N v b H V t b n M x L n t k a X N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J Y J n F 1 b 3 Q 7 L C Z x d W 9 0 O 0 Z Q J n F 1 b 3 Q 7 L C Z x d W 9 0 O 1 R P R i Z x d W 9 0 O y w m c X V v d D t k a X N 0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C 0 y O V Q x N j o x M D o 0 N i 4 z O T c 1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N v d m V y e V R h c m d l d F N o Z W V 0 I i B W Y W x 1 Z T 0 i c 2 F 2 Z X J h Z 2 V z I i A v P j x F b n R y e S B U e X B l P S J S Z W N v d m V y e V R h c m d l d E N v b H V t b i I g V m F s d W U 9 I m w y I i A v P j x F b n R y e S B U e X B l P S J S Z W N v d m V y e V R h c m d l d F J v d y I g V m F s d W U 9 I m w 1 O C I g L z 4 8 L 1 N 0 Y W J s Z U V u d H J p Z X M + P C 9 J d G V t P j x J d G V t P j x J d G V t T G 9 j Y X R p b 2 4 + P E l 0 Z W 1 U e X B l P k Z v c m 1 1 b G E 8 L 0 l 0 Z W 1 U e X B l P j x J d G V t U G F 0 a D 5 T Z W N 0 a W 9 u M S 9 h d m V y Y W d l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g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J T I w K D g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4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Z j g y M j c 5 L T c 1 N z I t N G M y Y y 0 4 O D E y L W Q 5 N j M 1 N W E 0 M z V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Z l c m F n Z X N f X z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M g K D k p L 0 F 1 d G 9 S Z W 1 v d m V k Q 2 9 s d W 1 u c z E u e 0 5 h b W U s M H 0 m c X V v d D s s J n F 1 b 3 Q 7 U 2 V j d G l v b j E v Y X Z l c m F n Z X M g K D k p L 0 F 1 d G 9 S Z W 1 v d m V k Q 2 9 s d W 1 u c z E u e 1 J Y L D F 9 J n F 1 b 3 Q 7 L C Z x d W 9 0 O 1 N l Y 3 R p b 2 4 x L 2 F 2 Z X J h Z 2 V z I C g 5 K S 9 B d X R v U m V t b 3 Z l Z E N v b H V t b n M x L n t G U C w y f S Z x d W 9 0 O y w m c X V v d D t T Z W N 0 a W 9 u M S 9 h d m V y Y W d l c y A o O S k v Q X V 0 b 1 J l b W 9 2 Z W R D b 2 x 1 b W 5 z M S 5 7 V E 9 G L D N 9 J n F 1 b 3 Q 7 L C Z x d W 9 0 O 1 N l Y 3 R p b 2 4 x L 2 F 2 Z X J h Z 2 V z I C g 5 K S 9 B d X R v U m V t b 3 Z l Z E N v b H V t b n M x L n t k a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2 Z X J h Z 2 V z I C g 5 K S 9 B d X R v U m V t b 3 Z l Z E N v b H V t b n M x L n t O Y W 1 l L D B 9 J n F 1 b 3 Q 7 L C Z x d W 9 0 O 1 N l Y 3 R p b 2 4 x L 2 F 2 Z X J h Z 2 V z I C g 5 K S 9 B d X R v U m V t b 3 Z l Z E N v b H V t b n M x L n t S W C w x f S Z x d W 9 0 O y w m c X V v d D t T Z W N 0 a W 9 u M S 9 h d m V y Y W d l c y A o O S k v Q X V 0 b 1 J l b W 9 2 Z W R D b 2 x 1 b W 5 z M S 5 7 R l A s M n 0 m c X V v d D s s J n F 1 b 3 Q 7 U 2 V j d G l v b j E v Y X Z l c m F n Z X M g K D k p L 0 F 1 d G 9 S Z W 1 v d m V k Q 2 9 s d W 1 u c z E u e 1 R P R i w z f S Z x d W 9 0 O y w m c X V v d D t T Z W N 0 a W 9 u M S 9 h d m V y Y W d l c y A o O S k v Q X V 0 b 1 J l b W 9 2 Z W R D b 2 x 1 b W 5 z M S 5 7 Z G l z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W C Z x d W 9 0 O y w m c X V v d D t G U C Z x d W 9 0 O y w m c X V v d D t U T 0 Y m c X V v d D s s J n F 1 b 3 Q 7 Z G l z d C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Q t M j l U M T Y 6 M T A 6 N T Y u M T M 3 M D Y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h d m V y Y W d l c y I g L z 4 8 R W 5 0 c n k g V H l w Z T 0 i U m V j b 3 Z l c n l U Y X J n Z X R D b 2 x 1 b W 4 i I F Z h b H V l P S J s M i I g L z 4 8 R W 5 0 c n k g V H l w Z T 0 i U m V j b 3 Z l c n l U Y X J n Z X R S b 3 c i I F Z h b H V l P S J s N j Y i I C 8 + P C 9 T d G F i b G V F b n R y a W V z P j w v S X R l b T 4 8 S X R l b T 4 8 S X R l b U x v Y 2 F 0 a W 9 u P j x J d G V t V H l w Z T 5 G b 3 J t d W x h P C 9 J d G V t V H l w Z T 4 8 S X R l b V B h d G g + U 2 V j d G l v b j E v Y X Z l c m F n Z X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U y M C g 5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l M j A o O S k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h W z u / K U 5 H s J l V 0 m x D 1 + Y A A A A A A g A A A A A A E G Y A A A A B A A A g A A A A j z J U o b h R h P 6 P h q + 3 h l 7 Q a S e z s E O F 6 + B e e Q E Z x s 9 a + r o A A A A A D o A A A A A C A A A g A A A A M m 3 7 5 7 N t Q R H w 4 d R F a j b 1 j n A b A E u Z Z O F w 6 e i d k H 1 4 J P 9 Q A A A A Z L C / b 4 5 7 p A z r e 3 + u e X w D 4 I E 3 A k f 8 Q N x U S B D 0 A z s Q A 3 T M A I N 1 5 a e I 0 y P q f F E F Q 1 u A Y 3 m V X 7 + n f u 9 f h r 1 n P y r r 0 F n F w a v 9 k c L c u 5 b t V N q r r x d A A A A A Q k f w U P v 9 H T T 4 s i w O u N I 1 b C m g C q i t v A / O 5 K r U p A K D y y o y T j 1 A G K o 3 M 6 n Z W 9 K 0 p D q O O H w U A y G g e Q V n r g S X n k s + m w = = < / D a t a M a s h u p > 
</file>

<file path=customXml/itemProps1.xml><?xml version="1.0" encoding="utf-8"?>
<ds:datastoreItem xmlns:ds="http://schemas.openxmlformats.org/officeDocument/2006/customXml" ds:itemID="{337C5816-7C67-436D-8EB7-525087DFBB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averages</vt:lpstr>
      <vt:lpstr>again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 Jan Jiří (238513)</dc:creator>
  <cp:lastModifiedBy>Bauer Jan Jiří (238513)</cp:lastModifiedBy>
  <dcterms:created xsi:type="dcterms:W3CDTF">2024-04-29T15:36:38Z</dcterms:created>
  <dcterms:modified xsi:type="dcterms:W3CDTF">2024-04-30T15:46:43Z</dcterms:modified>
</cp:coreProperties>
</file>