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jiri\Desktop\Soubory\ESP_UWB\ESP_UWB_calib\Meassurment 1\"/>
    </mc:Choice>
  </mc:AlternateContent>
  <xr:revisionPtr revIDLastSave="0" documentId="13_ncr:1_{DEB5966D-617A-4BB6-A2E9-1430FE54FA6E}" xr6:coauthVersionLast="47" xr6:coauthVersionMax="47" xr10:uidLastSave="{00000000-0000-0000-0000-000000000000}"/>
  <bookViews>
    <workbookView xWindow="-120" yWindow="-120" windowWidth="29040" windowHeight="15840" activeTab="1" xr2:uid="{C8ED39F9-F74F-4B75-95D3-877036CB2EC8}"/>
  </bookViews>
  <sheets>
    <sheet name="averages" sheetId="2" r:id="rId1"/>
    <sheet name="again" sheetId="5" r:id="rId2"/>
    <sheet name="Sheet1" sheetId="6" r:id="rId3"/>
    <sheet name="Sheet2" sheetId="4" r:id="rId4"/>
  </sheets>
  <definedNames>
    <definedName name="ExternalData_1" localSheetId="0" hidden="1">averages!$E$6:$I$11</definedName>
    <definedName name="ExternalData_2" localSheetId="0" hidden="1">averages!$E$14:$I$19</definedName>
    <definedName name="ExternalData_3" localSheetId="0" hidden="1">averages!$E$22:$I$27</definedName>
    <definedName name="ExternalData_4" localSheetId="0" hidden="1">averages!$E$30:$I$35</definedName>
    <definedName name="ExternalData_5" localSheetId="0" hidden="1">averages!$E$38:$I$43</definedName>
    <definedName name="ExternalData_6" localSheetId="0" hidden="1">averages!$E$46:$I$51</definedName>
    <definedName name="ExternalData_7" localSheetId="0" hidden="1">averages!$E$54:$I$59</definedName>
    <definedName name="ExternalData_8" localSheetId="0" hidden="1">averages!$E$62:$I$67</definedName>
    <definedName name="ExternalData_9" localSheetId="0" hidden="1">averages!$E$70:$I$75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5" l="1"/>
  <c r="V26" i="5"/>
  <c r="V34" i="5"/>
  <c r="V43" i="5"/>
  <c r="V42" i="5"/>
  <c r="V33" i="5"/>
  <c r="V25" i="5"/>
  <c r="V24" i="5" a="1"/>
  <c r="V24" i="5" s="1"/>
  <c r="V15" i="5"/>
  <c r="V7" i="5"/>
  <c r="V6" i="5"/>
  <c r="V5" i="5" a="1"/>
  <c r="V5" i="5" s="1"/>
  <c r="V41" i="5" a="1"/>
  <c r="V41" i="5" s="1"/>
  <c r="U41" i="5"/>
  <c r="V32" i="5" a="1"/>
  <c r="V32" i="5" s="1"/>
  <c r="U32" i="5"/>
  <c r="U24" i="5"/>
  <c r="V14" i="5" a="1"/>
  <c r="V14" i="5" s="1"/>
  <c r="U14" i="5"/>
  <c r="U5" i="5"/>
  <c r="H22" i="5" l="1"/>
  <c r="I22" i="5"/>
  <c r="J22" i="5"/>
  <c r="K22" i="5"/>
  <c r="L22" i="5"/>
  <c r="M22" i="5"/>
  <c r="H31" i="5"/>
  <c r="I31" i="5"/>
  <c r="J31" i="5"/>
  <c r="K31" i="5"/>
  <c r="L31" i="5"/>
  <c r="M31" i="5"/>
  <c r="O31" i="5" s="1"/>
  <c r="H40" i="5"/>
  <c r="I40" i="5"/>
  <c r="J40" i="5"/>
  <c r="K40" i="5"/>
  <c r="L40" i="5"/>
  <c r="M40" i="5"/>
  <c r="H49" i="5"/>
  <c r="I49" i="5"/>
  <c r="J49" i="5"/>
  <c r="K49" i="5"/>
  <c r="L49" i="5"/>
  <c r="M49" i="5"/>
  <c r="I13" i="5"/>
  <c r="J13" i="5"/>
  <c r="K13" i="5"/>
  <c r="L13" i="5"/>
  <c r="M13" i="5"/>
  <c r="H13" i="5"/>
  <c r="H21" i="5"/>
  <c r="I21" i="5"/>
  <c r="J21" i="5"/>
  <c r="K21" i="5"/>
  <c r="L21" i="5"/>
  <c r="M21" i="5"/>
  <c r="O21" i="5" s="1"/>
  <c r="H30" i="5"/>
  <c r="I30" i="5"/>
  <c r="J30" i="5"/>
  <c r="K30" i="5"/>
  <c r="L30" i="5"/>
  <c r="H39" i="5"/>
  <c r="I39" i="5"/>
  <c r="J39" i="5"/>
  <c r="K39" i="5"/>
  <c r="L39" i="5"/>
  <c r="M39" i="5"/>
  <c r="O39" i="5" s="1"/>
  <c r="S39" i="5" s="1"/>
  <c r="H48" i="5"/>
  <c r="I48" i="5"/>
  <c r="J48" i="5"/>
  <c r="K48" i="5"/>
  <c r="L48" i="5"/>
  <c r="I12" i="5"/>
  <c r="J12" i="5"/>
  <c r="K12" i="5"/>
  <c r="L12" i="5"/>
  <c r="H12" i="5"/>
  <c r="H20" i="5"/>
  <c r="I20" i="5"/>
  <c r="J20" i="5"/>
  <c r="K20" i="5"/>
  <c r="L20" i="5"/>
  <c r="H29" i="5"/>
  <c r="I29" i="5"/>
  <c r="J29" i="5"/>
  <c r="K29" i="5"/>
  <c r="L29" i="5"/>
  <c r="M29" i="5"/>
  <c r="N29" i="5" s="1"/>
  <c r="P29" i="5" s="1"/>
  <c r="Q29" i="5" s="1"/>
  <c r="R29" i="5" s="1"/>
  <c r="H38" i="5"/>
  <c r="I38" i="5"/>
  <c r="J38" i="5"/>
  <c r="K38" i="5"/>
  <c r="L38" i="5"/>
  <c r="H47" i="5"/>
  <c r="I47" i="5"/>
  <c r="J47" i="5"/>
  <c r="K47" i="5"/>
  <c r="L47" i="5"/>
  <c r="M47" i="5"/>
  <c r="O47" i="5" s="1"/>
  <c r="I11" i="5"/>
  <c r="J11" i="5"/>
  <c r="K11" i="5"/>
  <c r="L11" i="5"/>
  <c r="H11" i="5"/>
  <c r="H19" i="5"/>
  <c r="I19" i="5"/>
  <c r="J19" i="5"/>
  <c r="K19" i="5"/>
  <c r="L19" i="5"/>
  <c r="M19" i="5"/>
  <c r="H28" i="5"/>
  <c r="I28" i="5"/>
  <c r="J28" i="5"/>
  <c r="K28" i="5"/>
  <c r="L28" i="5"/>
  <c r="H37" i="5"/>
  <c r="I37" i="5"/>
  <c r="J37" i="5"/>
  <c r="K37" i="5"/>
  <c r="L37" i="5"/>
  <c r="M37" i="5"/>
  <c r="O37" i="5" s="1"/>
  <c r="S37" i="5" s="1"/>
  <c r="H46" i="5"/>
  <c r="I46" i="5"/>
  <c r="J46" i="5"/>
  <c r="K46" i="5"/>
  <c r="L46" i="5"/>
  <c r="M46" i="5"/>
  <c r="O46" i="5" s="1"/>
  <c r="S46" i="5" s="1"/>
  <c r="I10" i="5"/>
  <c r="J10" i="5"/>
  <c r="K10" i="5"/>
  <c r="L10" i="5"/>
  <c r="M10" i="5"/>
  <c r="H10" i="5"/>
  <c r="H18" i="5"/>
  <c r="I18" i="5"/>
  <c r="J18" i="5"/>
  <c r="K18" i="5"/>
  <c r="L18" i="5"/>
  <c r="M18" i="5"/>
  <c r="O18" i="5" s="1"/>
  <c r="H27" i="5"/>
  <c r="I27" i="5"/>
  <c r="J27" i="5"/>
  <c r="K27" i="5"/>
  <c r="L27" i="5"/>
  <c r="M27" i="5"/>
  <c r="O27" i="5" s="1"/>
  <c r="S27" i="5" s="1"/>
  <c r="H36" i="5"/>
  <c r="I36" i="5"/>
  <c r="J36" i="5"/>
  <c r="K36" i="5"/>
  <c r="L36" i="5"/>
  <c r="H45" i="5"/>
  <c r="I45" i="5"/>
  <c r="J45" i="5"/>
  <c r="K45" i="5"/>
  <c r="L45" i="5"/>
  <c r="M45" i="5"/>
  <c r="O45" i="5" s="1"/>
  <c r="S45" i="5" s="1"/>
  <c r="I9" i="5"/>
  <c r="J9" i="5"/>
  <c r="K9" i="5"/>
  <c r="L9" i="5"/>
  <c r="H9" i="5"/>
  <c r="H17" i="5"/>
  <c r="I17" i="5"/>
  <c r="J17" i="5"/>
  <c r="K17" i="5"/>
  <c r="L17" i="5"/>
  <c r="M17" i="5"/>
  <c r="O17" i="5" s="1"/>
  <c r="H26" i="5"/>
  <c r="I26" i="5"/>
  <c r="J26" i="5"/>
  <c r="K26" i="5"/>
  <c r="L26" i="5"/>
  <c r="M26" i="5"/>
  <c r="O26" i="5" s="1"/>
  <c r="S26" i="5" s="1"/>
  <c r="H35" i="5"/>
  <c r="I35" i="5"/>
  <c r="J35" i="5"/>
  <c r="K35" i="5"/>
  <c r="L35" i="5"/>
  <c r="M35" i="5"/>
  <c r="H44" i="5"/>
  <c r="I44" i="5"/>
  <c r="J44" i="5"/>
  <c r="K44" i="5"/>
  <c r="L44" i="5"/>
  <c r="I8" i="5"/>
  <c r="J8" i="5"/>
  <c r="K8" i="5"/>
  <c r="L8" i="5"/>
  <c r="M8" i="5"/>
  <c r="O8" i="5" s="1"/>
  <c r="H8" i="5"/>
  <c r="H16" i="5"/>
  <c r="I16" i="5"/>
  <c r="J16" i="5"/>
  <c r="K16" i="5"/>
  <c r="L16" i="5"/>
  <c r="M16" i="5"/>
  <c r="N16" i="5" s="1"/>
  <c r="P16" i="5" s="1"/>
  <c r="Q16" i="5" s="1"/>
  <c r="R16" i="5" s="1"/>
  <c r="H25" i="5"/>
  <c r="I25" i="5"/>
  <c r="J25" i="5"/>
  <c r="K25" i="5"/>
  <c r="L25" i="5"/>
  <c r="M25" i="5"/>
  <c r="O25" i="5" s="1"/>
  <c r="S25" i="5" s="1"/>
  <c r="H34" i="5"/>
  <c r="I34" i="5"/>
  <c r="J34" i="5"/>
  <c r="K34" i="5"/>
  <c r="L34" i="5"/>
  <c r="M34" i="5"/>
  <c r="N34" i="5" s="1"/>
  <c r="P34" i="5" s="1"/>
  <c r="Q34" i="5" s="1"/>
  <c r="R34" i="5" s="1"/>
  <c r="H43" i="5"/>
  <c r="I43" i="5"/>
  <c r="J43" i="5"/>
  <c r="K43" i="5"/>
  <c r="L43" i="5"/>
  <c r="M43" i="5"/>
  <c r="O43" i="5" s="1"/>
  <c r="I7" i="5"/>
  <c r="J7" i="5"/>
  <c r="K7" i="5"/>
  <c r="L7" i="5"/>
  <c r="H7" i="5"/>
  <c r="M41" i="5"/>
  <c r="M6" i="5"/>
  <c r="O6" i="5" s="1"/>
  <c r="S6" i="5" s="1"/>
  <c r="H15" i="5"/>
  <c r="I15" i="5"/>
  <c r="J15" i="5"/>
  <c r="K15" i="5"/>
  <c r="L15" i="5"/>
  <c r="H24" i="5"/>
  <c r="I24" i="5"/>
  <c r="J24" i="5"/>
  <c r="K24" i="5"/>
  <c r="L24" i="5"/>
  <c r="H33" i="5"/>
  <c r="I33" i="5"/>
  <c r="J33" i="5"/>
  <c r="K33" i="5"/>
  <c r="L33" i="5"/>
  <c r="H42" i="5"/>
  <c r="I42" i="5"/>
  <c r="J42" i="5"/>
  <c r="K42" i="5"/>
  <c r="L42" i="5"/>
  <c r="I6" i="5"/>
  <c r="J6" i="5"/>
  <c r="K6" i="5"/>
  <c r="L6" i="5"/>
  <c r="H6" i="5"/>
  <c r="H41" i="5"/>
  <c r="I41" i="5"/>
  <c r="J41" i="5"/>
  <c r="K41" i="5"/>
  <c r="L41" i="5"/>
  <c r="H32" i="5"/>
  <c r="I32" i="5"/>
  <c r="J32" i="5"/>
  <c r="K32" i="5"/>
  <c r="L32" i="5"/>
  <c r="H23" i="5"/>
  <c r="I23" i="5"/>
  <c r="J23" i="5"/>
  <c r="K23" i="5"/>
  <c r="L23" i="5"/>
  <c r="H14" i="5"/>
  <c r="I14" i="5"/>
  <c r="J14" i="5"/>
  <c r="K14" i="5"/>
  <c r="L14" i="5"/>
  <c r="I5" i="5"/>
  <c r="J5" i="5"/>
  <c r="K5" i="5"/>
  <c r="L5" i="5"/>
  <c r="H5" i="5"/>
  <c r="J71" i="2"/>
  <c r="J72" i="2"/>
  <c r="J73" i="2"/>
  <c r="J74" i="2"/>
  <c r="J75" i="2"/>
  <c r="J63" i="2"/>
  <c r="M12" i="5" s="1"/>
  <c r="O12" i="5" s="1"/>
  <c r="J64" i="2"/>
  <c r="J65" i="2"/>
  <c r="M30" i="5" s="1"/>
  <c r="J66" i="2"/>
  <c r="J67" i="2"/>
  <c r="M48" i="5" s="1"/>
  <c r="J55" i="2"/>
  <c r="M11" i="5" s="1"/>
  <c r="O11" i="5" s="1"/>
  <c r="S11" i="5" s="1"/>
  <c r="J56" i="2"/>
  <c r="M20" i="5" s="1"/>
  <c r="J57" i="2"/>
  <c r="J58" i="2"/>
  <c r="M38" i="5" s="1"/>
  <c r="J59" i="2"/>
  <c r="J47" i="2"/>
  <c r="J48" i="2"/>
  <c r="J49" i="2"/>
  <c r="M28" i="5" s="1"/>
  <c r="O28" i="5" s="1"/>
  <c r="J50" i="2"/>
  <c r="J51" i="2"/>
  <c r="J39" i="2"/>
  <c r="M9" i="5" s="1"/>
  <c r="J40" i="2"/>
  <c r="J41" i="2"/>
  <c r="J42" i="2"/>
  <c r="M36" i="5" s="1"/>
  <c r="J43" i="2"/>
  <c r="J31" i="2"/>
  <c r="J32" i="2"/>
  <c r="J33" i="2"/>
  <c r="J34" i="2"/>
  <c r="J35" i="2"/>
  <c r="M44" i="5" s="1"/>
  <c r="O44" i="5" s="1"/>
  <c r="J23" i="2"/>
  <c r="M7" i="5" s="1"/>
  <c r="O7" i="5" s="1"/>
  <c r="J24" i="2"/>
  <c r="J25" i="2"/>
  <c r="J26" i="2"/>
  <c r="J27" i="2"/>
  <c r="J15" i="2"/>
  <c r="J16" i="2"/>
  <c r="M15" i="5" s="1"/>
  <c r="J17" i="2"/>
  <c r="M24" i="5" s="1"/>
  <c r="J18" i="2"/>
  <c r="M33" i="5" s="1"/>
  <c r="O33" i="5" s="1"/>
  <c r="J19" i="2"/>
  <c r="M42" i="5" s="1"/>
  <c r="O42" i="5" s="1"/>
  <c r="J7" i="2"/>
  <c r="M5" i="5" s="1"/>
  <c r="O5" i="5" s="1"/>
  <c r="J8" i="2"/>
  <c r="M14" i="5" s="1"/>
  <c r="J9" i="2"/>
  <c r="M23" i="5" s="1"/>
  <c r="O23" i="5" s="1"/>
  <c r="J10" i="2"/>
  <c r="M32" i="5" s="1"/>
  <c r="O32" i="5" s="1"/>
  <c r="J11" i="2"/>
  <c r="K71" i="2"/>
  <c r="L71" i="2" s="1"/>
  <c r="M71" i="2" s="1"/>
  <c r="N71" i="2" s="1"/>
  <c r="K72" i="2"/>
  <c r="L72" i="2" s="1"/>
  <c r="M72" i="2" s="1"/>
  <c r="N72" i="2" s="1"/>
  <c r="K73" i="2"/>
  <c r="L73" i="2" s="1"/>
  <c r="M73" i="2" s="1"/>
  <c r="N73" i="2" s="1"/>
  <c r="K74" i="2"/>
  <c r="L74" i="2" s="1"/>
  <c r="M74" i="2" s="1"/>
  <c r="N74" i="2" s="1"/>
  <c r="K75" i="2"/>
  <c r="L75" i="2" s="1"/>
  <c r="M75" i="2" s="1"/>
  <c r="N75" i="2" s="1"/>
  <c r="K3" i="5"/>
  <c r="O10" i="5"/>
  <c r="O35" i="5"/>
  <c r="S35" i="5" s="1"/>
  <c r="K63" i="2"/>
  <c r="L63" i="2" s="1"/>
  <c r="M63" i="2" s="1"/>
  <c r="N63" i="2" s="1"/>
  <c r="K64" i="2"/>
  <c r="L64" i="2" s="1"/>
  <c r="M64" i="2" s="1"/>
  <c r="N64" i="2" s="1"/>
  <c r="K65" i="2"/>
  <c r="L65" i="2" s="1"/>
  <c r="M65" i="2" s="1"/>
  <c r="N65" i="2" s="1"/>
  <c r="K66" i="2"/>
  <c r="L66" i="2" s="1"/>
  <c r="M66" i="2" s="1"/>
  <c r="N66" i="2" s="1"/>
  <c r="K67" i="2"/>
  <c r="L67" i="2" s="1"/>
  <c r="M67" i="2" s="1"/>
  <c r="N67" i="2" s="1"/>
  <c r="K55" i="2"/>
  <c r="L55" i="2" s="1"/>
  <c r="M55" i="2" s="1"/>
  <c r="N55" i="2" s="1"/>
  <c r="K56" i="2"/>
  <c r="L56" i="2" s="1"/>
  <c r="M56" i="2" s="1"/>
  <c r="N56" i="2" s="1"/>
  <c r="K57" i="2"/>
  <c r="L57" i="2" s="1"/>
  <c r="M57" i="2" s="1"/>
  <c r="N57" i="2" s="1"/>
  <c r="K58" i="2"/>
  <c r="L58" i="2" s="1"/>
  <c r="M58" i="2" s="1"/>
  <c r="N58" i="2" s="1"/>
  <c r="K59" i="2"/>
  <c r="L59" i="2" s="1"/>
  <c r="M59" i="2" s="1"/>
  <c r="N59" i="2" s="1"/>
  <c r="K47" i="2"/>
  <c r="L47" i="2" s="1"/>
  <c r="M47" i="2" s="1"/>
  <c r="N47" i="2" s="1"/>
  <c r="K48" i="2"/>
  <c r="L48" i="2" s="1"/>
  <c r="M48" i="2" s="1"/>
  <c r="N48" i="2" s="1"/>
  <c r="K49" i="2"/>
  <c r="L49" i="2" s="1"/>
  <c r="M49" i="2" s="1"/>
  <c r="N49" i="2" s="1"/>
  <c r="K50" i="2"/>
  <c r="L50" i="2" s="1"/>
  <c r="M50" i="2" s="1"/>
  <c r="N50" i="2" s="1"/>
  <c r="K51" i="2"/>
  <c r="L51" i="2" s="1"/>
  <c r="M51" i="2" s="1"/>
  <c r="N51" i="2" s="1"/>
  <c r="K39" i="2"/>
  <c r="L39" i="2" s="1"/>
  <c r="M39" i="2" s="1"/>
  <c r="N39" i="2" s="1"/>
  <c r="K40" i="2"/>
  <c r="L40" i="2" s="1"/>
  <c r="M40" i="2" s="1"/>
  <c r="N40" i="2" s="1"/>
  <c r="K41" i="2"/>
  <c r="L41" i="2" s="1"/>
  <c r="M41" i="2" s="1"/>
  <c r="N41" i="2" s="1"/>
  <c r="K42" i="2"/>
  <c r="L42" i="2" s="1"/>
  <c r="M42" i="2" s="1"/>
  <c r="N42" i="2" s="1"/>
  <c r="K43" i="2"/>
  <c r="L43" i="2" s="1"/>
  <c r="M43" i="2" s="1"/>
  <c r="N43" i="2" s="1"/>
  <c r="K31" i="2"/>
  <c r="L31" i="2" s="1"/>
  <c r="M31" i="2" s="1"/>
  <c r="N31" i="2" s="1"/>
  <c r="K32" i="2"/>
  <c r="L32" i="2" s="1"/>
  <c r="M32" i="2" s="1"/>
  <c r="N32" i="2" s="1"/>
  <c r="K33" i="2"/>
  <c r="L33" i="2" s="1"/>
  <c r="M33" i="2" s="1"/>
  <c r="N33" i="2" s="1"/>
  <c r="K34" i="2"/>
  <c r="L34" i="2" s="1"/>
  <c r="M34" i="2" s="1"/>
  <c r="N34" i="2" s="1"/>
  <c r="K35" i="2"/>
  <c r="L35" i="2" s="1"/>
  <c r="M35" i="2" s="1"/>
  <c r="N35" i="2" s="1"/>
  <c r="K23" i="2"/>
  <c r="L23" i="2" s="1"/>
  <c r="M23" i="2" s="1"/>
  <c r="N23" i="2" s="1"/>
  <c r="K24" i="2"/>
  <c r="L24" i="2" s="1"/>
  <c r="M24" i="2" s="1"/>
  <c r="N24" i="2" s="1"/>
  <c r="K25" i="2"/>
  <c r="L25" i="2" s="1"/>
  <c r="M25" i="2" s="1"/>
  <c r="N25" i="2" s="1"/>
  <c r="K26" i="2"/>
  <c r="L26" i="2" s="1"/>
  <c r="M26" i="2" s="1"/>
  <c r="N26" i="2" s="1"/>
  <c r="K27" i="2"/>
  <c r="L27" i="2" s="1"/>
  <c r="M27" i="2" s="1"/>
  <c r="N27" i="2" s="1"/>
  <c r="K15" i="2"/>
  <c r="L15" i="2" s="1"/>
  <c r="M15" i="2" s="1"/>
  <c r="N15" i="2" s="1"/>
  <c r="K16" i="2"/>
  <c r="L16" i="2" s="1"/>
  <c r="M16" i="2" s="1"/>
  <c r="N16" i="2" s="1"/>
  <c r="K17" i="2"/>
  <c r="L17" i="2" s="1"/>
  <c r="M17" i="2" s="1"/>
  <c r="N17" i="2" s="1"/>
  <c r="K18" i="2"/>
  <c r="L18" i="2" s="1"/>
  <c r="M18" i="2" s="1"/>
  <c r="N18" i="2" s="1"/>
  <c r="K19" i="2"/>
  <c r="L19" i="2" s="1"/>
  <c r="M19" i="2" s="1"/>
  <c r="N19" i="2" s="1"/>
  <c r="K7" i="2"/>
  <c r="L7" i="2" s="1"/>
  <c r="M7" i="2" s="1"/>
  <c r="N7" i="2" s="1"/>
  <c r="K8" i="2"/>
  <c r="L8" i="2" s="1"/>
  <c r="M8" i="2" s="1"/>
  <c r="N8" i="2" s="1"/>
  <c r="K9" i="2"/>
  <c r="L9" i="2" s="1"/>
  <c r="M9" i="2" s="1"/>
  <c r="N9" i="2" s="1"/>
  <c r="K10" i="2"/>
  <c r="L10" i="2" s="1"/>
  <c r="M10" i="2" s="1"/>
  <c r="N10" i="2" s="1"/>
  <c r="K11" i="2"/>
  <c r="L11" i="2" s="1"/>
  <c r="M11" i="2" s="1"/>
  <c r="N11" i="2" s="1"/>
  <c r="N41" i="5" l="1"/>
  <c r="P41" i="5" s="1"/>
  <c r="Q41" i="5" s="1"/>
  <c r="R41" i="5" s="1"/>
  <c r="N49" i="5"/>
  <c r="P49" i="5" s="1"/>
  <c r="Q49" i="5" s="1"/>
  <c r="R49" i="5" s="1"/>
  <c r="N19" i="5"/>
  <c r="P19" i="5" s="1"/>
  <c r="Q19" i="5" s="1"/>
  <c r="R19" i="5" s="1"/>
  <c r="O29" i="5"/>
  <c r="O15" i="5"/>
  <c r="S15" i="5" s="1"/>
  <c r="N15" i="5"/>
  <c r="P15" i="5" s="1"/>
  <c r="Q15" i="5" s="1"/>
  <c r="R15" i="5" s="1"/>
  <c r="O13" i="5"/>
  <c r="S13" i="5" s="1"/>
  <c r="N13" i="5"/>
  <c r="P13" i="5" s="1"/>
  <c r="Q13" i="5" s="1"/>
  <c r="R13" i="5" s="1"/>
  <c r="O40" i="5"/>
  <c r="S40" i="5" s="1"/>
  <c r="N40" i="5"/>
  <c r="P40" i="5" s="1"/>
  <c r="Q40" i="5" s="1"/>
  <c r="R40" i="5" s="1"/>
  <c r="N38" i="5"/>
  <c r="P38" i="5" s="1"/>
  <c r="Q38" i="5" s="1"/>
  <c r="R38" i="5" s="1"/>
  <c r="O38" i="5"/>
  <c r="S38" i="5" s="1"/>
  <c r="O36" i="5"/>
  <c r="S36" i="5" s="1"/>
  <c r="N36" i="5"/>
  <c r="P36" i="5" s="1"/>
  <c r="Q36" i="5" s="1"/>
  <c r="R36" i="5" s="1"/>
  <c r="O20" i="5"/>
  <c r="S20" i="5" s="1"/>
  <c r="N20" i="5"/>
  <c r="P20" i="5" s="1"/>
  <c r="Q20" i="5" s="1"/>
  <c r="R20" i="5" s="1"/>
  <c r="O22" i="5"/>
  <c r="S22" i="5" s="1"/>
  <c r="N22" i="5"/>
  <c r="P22" i="5" s="1"/>
  <c r="Q22" i="5" s="1"/>
  <c r="R22" i="5" s="1"/>
  <c r="O48" i="5"/>
  <c r="N48" i="5"/>
  <c r="P48" i="5" s="1"/>
  <c r="Q48" i="5" s="1"/>
  <c r="R48" i="5" s="1"/>
  <c r="O24" i="5"/>
  <c r="S24" i="5" s="1"/>
  <c r="N24" i="5"/>
  <c r="P24" i="5" s="1"/>
  <c r="Q24" i="5" s="1"/>
  <c r="R24" i="5" s="1"/>
  <c r="N9" i="5"/>
  <c r="P9" i="5" s="1"/>
  <c r="Q9" i="5" s="1"/>
  <c r="R9" i="5" s="1"/>
  <c r="O9" i="5"/>
  <c r="O30" i="5"/>
  <c r="N30" i="5"/>
  <c r="P30" i="5" s="1"/>
  <c r="Q30" i="5" s="1"/>
  <c r="R30" i="5" s="1"/>
  <c r="O49" i="5"/>
  <c r="S49" i="5" s="1"/>
  <c r="N10" i="5"/>
  <c r="P10" i="5" s="1"/>
  <c r="Q10" i="5" s="1"/>
  <c r="R10" i="5" s="1"/>
  <c r="N43" i="5"/>
  <c r="P43" i="5" s="1"/>
  <c r="Q43" i="5" s="1"/>
  <c r="R43" i="5" s="1"/>
  <c r="N25" i="5"/>
  <c r="P25" i="5" s="1"/>
  <c r="Q25" i="5" s="1"/>
  <c r="R25" i="5" s="1"/>
  <c r="N35" i="5"/>
  <c r="P35" i="5" s="1"/>
  <c r="Q35" i="5" s="1"/>
  <c r="R35" i="5" s="1"/>
  <c r="N17" i="5"/>
  <c r="P17" i="5" s="1"/>
  <c r="Q17" i="5" s="1"/>
  <c r="R17" i="5" s="1"/>
  <c r="N45" i="5"/>
  <c r="P45" i="5" s="1"/>
  <c r="Q45" i="5" s="1"/>
  <c r="R45" i="5" s="1"/>
  <c r="N27" i="5"/>
  <c r="P27" i="5" s="1"/>
  <c r="Q27" i="5" s="1"/>
  <c r="R27" i="5" s="1"/>
  <c r="N32" i="5"/>
  <c r="P32" i="5" s="1"/>
  <c r="Q32" i="5" s="1"/>
  <c r="R32" i="5" s="1"/>
  <c r="N11" i="5"/>
  <c r="P11" i="5" s="1"/>
  <c r="Q11" i="5" s="1"/>
  <c r="R11" i="5" s="1"/>
  <c r="O19" i="5"/>
  <c r="O34" i="5"/>
  <c r="S34" i="5" s="1"/>
  <c r="N12" i="5"/>
  <c r="P12" i="5" s="1"/>
  <c r="Q12" i="5" s="1"/>
  <c r="R12" i="5" s="1"/>
  <c r="N26" i="5"/>
  <c r="P26" i="5" s="1"/>
  <c r="Q26" i="5" s="1"/>
  <c r="R26" i="5" s="1"/>
  <c r="N39" i="5"/>
  <c r="P39" i="5" s="1"/>
  <c r="Q39" i="5" s="1"/>
  <c r="R39" i="5" s="1"/>
  <c r="N5" i="5"/>
  <c r="P5" i="5" s="1"/>
  <c r="Q5" i="5" s="1"/>
  <c r="R5" i="5" s="1"/>
  <c r="N14" i="5"/>
  <c r="P14" i="5" s="1"/>
  <c r="Q14" i="5" s="1"/>
  <c r="R14" i="5" s="1"/>
  <c r="N7" i="5"/>
  <c r="P7" i="5" s="1"/>
  <c r="Q7" i="5" s="1"/>
  <c r="R7" i="5" s="1"/>
  <c r="N21" i="5"/>
  <c r="P21" i="5" s="1"/>
  <c r="Q21" i="5" s="1"/>
  <c r="R21" i="5" s="1"/>
  <c r="O41" i="5"/>
  <c r="S41" i="5" s="1"/>
  <c r="N47" i="5"/>
  <c r="P47" i="5" s="1"/>
  <c r="Q47" i="5" s="1"/>
  <c r="R47" i="5" s="1"/>
  <c r="N37" i="5"/>
  <c r="P37" i="5" s="1"/>
  <c r="Q37" i="5" s="1"/>
  <c r="R37" i="5" s="1"/>
  <c r="N46" i="5"/>
  <c r="P46" i="5" s="1"/>
  <c r="Q46" i="5" s="1"/>
  <c r="R46" i="5" s="1"/>
  <c r="N28" i="5"/>
  <c r="P28" i="5" s="1"/>
  <c r="Q28" i="5" s="1"/>
  <c r="R28" i="5" s="1"/>
  <c r="N31" i="5"/>
  <c r="P31" i="5" s="1"/>
  <c r="Q31" i="5" s="1"/>
  <c r="R31" i="5" s="1"/>
  <c r="N18" i="5"/>
  <c r="P18" i="5" s="1"/>
  <c r="Q18" i="5" s="1"/>
  <c r="R18" i="5" s="1"/>
  <c r="N44" i="5"/>
  <c r="P44" i="5" s="1"/>
  <c r="Q44" i="5" s="1"/>
  <c r="R44" i="5" s="1"/>
  <c r="N8" i="5"/>
  <c r="P8" i="5" s="1"/>
  <c r="Q8" i="5" s="1"/>
  <c r="R8" i="5" s="1"/>
  <c r="O16" i="5"/>
  <c r="S16" i="5" s="1"/>
  <c r="N42" i="5"/>
  <c r="P42" i="5" s="1"/>
  <c r="Q42" i="5" s="1"/>
  <c r="R42" i="5" s="1"/>
  <c r="N6" i="5"/>
  <c r="P6" i="5" s="1"/>
  <c r="Q6" i="5" s="1"/>
  <c r="R6" i="5" s="1"/>
  <c r="O14" i="5"/>
  <c r="S14" i="5" s="1"/>
  <c r="N33" i="5"/>
  <c r="P33" i="5" s="1"/>
  <c r="Q33" i="5" s="1"/>
  <c r="R33" i="5" s="1"/>
  <c r="N23" i="5"/>
  <c r="P23" i="5" s="1"/>
  <c r="Q23" i="5" s="1"/>
  <c r="R23" i="5" s="1"/>
  <c r="S17" i="5"/>
  <c r="S47" i="5"/>
  <c r="S12" i="5"/>
  <c r="S21" i="5"/>
  <c r="S31" i="5"/>
  <c r="S44" i="5"/>
  <c r="S10" i="5"/>
  <c r="S30" i="5"/>
  <c r="S23" i="5"/>
  <c r="S33" i="5"/>
  <c r="S43" i="5"/>
  <c r="S9" i="5"/>
  <c r="S19" i="5"/>
  <c r="S29" i="5"/>
  <c r="S32" i="5"/>
  <c r="S42" i="5"/>
  <c r="S8" i="5"/>
  <c r="S18" i="5"/>
  <c r="S28" i="5"/>
  <c r="S48" i="5"/>
  <c r="S5" i="5"/>
  <c r="S7" i="5"/>
  <c r="N3" i="5" l="1"/>
  <c r="P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077B7-CE6B-48C6-9350-500E3F26D750}" keepAlive="1" name="Query - averages" description="Connection to the 'averages' query in the workbook." type="5" refreshedVersion="0" background="1">
    <dbPr connection="Provider=Microsoft.Mashup.OleDb.1;Data Source=$Workbook$;Location=averages;Extended Properties=&quot;&quot;" command="SELECT * FROM [averages]"/>
  </connection>
  <connection id="2" xr16:uid="{B576807A-80A3-45BA-84F9-EE8CBE78310A}" keepAlive="1" name="Query - averages (1)" description="Connection to the 'averages (1)' query in the workbook." type="5" refreshedVersion="8" background="1" saveData="1">
    <dbPr connection="Provider=Microsoft.Mashup.OleDb.1;Data Source=$Workbook$;Location=&quot;averages (1)&quot;;Extended Properties=&quot;&quot;" command="SELECT * FROM [averages (1)]"/>
  </connection>
  <connection id="3" xr16:uid="{3543242B-ECE8-4EBD-99E1-63A64E0B1D7F}" keepAlive="1" name="Query - averages (2)" description="Connection to the 'averages (2)' query in the workbook." type="5" refreshedVersion="8" background="1" saveData="1">
    <dbPr connection="Provider=Microsoft.Mashup.OleDb.1;Data Source=$Workbook$;Location=&quot;averages (2)&quot;;Extended Properties=&quot;&quot;" command="SELECT * FROM [averages (2)]"/>
  </connection>
  <connection id="4" xr16:uid="{8432EC93-71BB-4047-A845-9F33745131D4}" keepAlive="1" name="Query - averages (3)" description="Connection to the 'averages (3)' query in the workbook." type="5" refreshedVersion="8" background="1" saveData="1">
    <dbPr connection="Provider=Microsoft.Mashup.OleDb.1;Data Source=$Workbook$;Location=&quot;averages (3)&quot;;Extended Properties=&quot;&quot;" command="SELECT * FROM [averages (3)]"/>
  </connection>
  <connection id="5" xr16:uid="{73175473-F05D-44BA-9350-99E7EE9D94B1}" keepAlive="1" name="Query - averages (4)" description="Connection to the 'averages (4)' query in the workbook." type="5" refreshedVersion="8" background="1" saveData="1">
    <dbPr connection="Provider=Microsoft.Mashup.OleDb.1;Data Source=$Workbook$;Location=&quot;averages (4)&quot;;Extended Properties=&quot;&quot;" command="SELECT * FROM [averages (4)]"/>
  </connection>
  <connection id="6" xr16:uid="{C74FE20C-7270-4B25-A642-D204EB5AB289}" keepAlive="1" name="Query - averages (5)" description="Connection to the 'averages (5)' query in the workbook." type="5" refreshedVersion="8" background="1" saveData="1">
    <dbPr connection="Provider=Microsoft.Mashup.OleDb.1;Data Source=$Workbook$;Location=&quot;averages (5)&quot;;Extended Properties=&quot;&quot;" command="SELECT * FROM [averages (5)]"/>
  </connection>
  <connection id="7" xr16:uid="{B3B25297-0248-4A53-ABCB-CA805779D094}" keepAlive="1" name="Query - averages (6)" description="Connection to the 'averages (6)' query in the workbook." type="5" refreshedVersion="8" background="1" saveData="1">
    <dbPr connection="Provider=Microsoft.Mashup.OleDb.1;Data Source=$Workbook$;Location=&quot;averages (6)&quot;;Extended Properties=&quot;&quot;" command="SELECT * FROM [averages (6)]"/>
  </connection>
  <connection id="8" xr16:uid="{3F58D3CD-2AA9-478A-B31F-9BB0EE406BAD}" keepAlive="1" name="Query - averages (7)" description="Connection to the 'averages (7)' query in the workbook." type="5" refreshedVersion="8" background="1" saveData="1">
    <dbPr connection="Provider=Microsoft.Mashup.OleDb.1;Data Source=$Workbook$;Location=&quot;averages (7)&quot;;Extended Properties=&quot;&quot;" command="SELECT * FROM [averages (7)]"/>
  </connection>
  <connection id="9" xr16:uid="{B6C88C74-00C3-497F-B842-993C310C6284}" keepAlive="1" name="Query - averages (8)" description="Connection to the 'averages (8)' query in the workbook." type="5" refreshedVersion="8" background="1" saveData="1">
    <dbPr connection="Provider=Microsoft.Mashup.OleDb.1;Data Source=$Workbook$;Location=&quot;averages (8)&quot;;Extended Properties=&quot;&quot;" command="SELECT * FROM [averages (8)]"/>
  </connection>
  <connection id="10" xr16:uid="{97F1E49A-D20B-402F-925A-B4F29245F9C1}" keepAlive="1" name="Query - averages (9)" description="Connection to the 'averages (9)' query in the workbook." type="5" refreshedVersion="8" background="1" saveData="1">
    <dbPr connection="Provider=Microsoft.Mashup.OleDb.1;Data Source=$Workbook$;Location=&quot;averages (9)&quot;;Extended Properties=&quot;&quot;" command="SELECT * FROM [averages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<sst xmlns="http://schemas.openxmlformats.org/spreadsheetml/2006/main" count="236" uniqueCount="34">
  <si>
    <t>Name</t>
  </si>
  <si>
    <t>RX</t>
  </si>
  <si>
    <t>FP</t>
  </si>
  <si>
    <t>11a1</t>
  </si>
  <si>
    <t>12a2</t>
  </si>
  <si>
    <t>13a3</t>
  </si>
  <si>
    <t>14a4</t>
  </si>
  <si>
    <t>15a5</t>
  </si>
  <si>
    <t>Trangle</t>
  </si>
  <si>
    <t>dist_meass</t>
  </si>
  <si>
    <t>TOF_clk</t>
  </si>
  <si>
    <t>delta_clk</t>
  </si>
  <si>
    <t>delta_ns</t>
  </si>
  <si>
    <t>dist_a_m</t>
  </si>
  <si>
    <t>dist_a_clk</t>
  </si>
  <si>
    <t>Speed of light</t>
  </si>
  <si>
    <t>timestep</t>
  </si>
  <si>
    <t>m/s</t>
  </si>
  <si>
    <t>s</t>
  </si>
  <si>
    <t>Meassurment</t>
  </si>
  <si>
    <t>Distance</t>
  </si>
  <si>
    <t>deviation</t>
  </si>
  <si>
    <t>dist_meass_m</t>
  </si>
  <si>
    <t>meassurment</t>
  </si>
  <si>
    <t>deviation_ns</t>
  </si>
  <si>
    <t>TOF [clk]</t>
  </si>
  <si>
    <t>Vzdálenost měřená [m]</t>
  </si>
  <si>
    <t>Vzdálenost opravdová [m]</t>
  </si>
  <si>
    <t>Rozdíl [ns]</t>
  </si>
  <si>
    <t>RX [dB]</t>
  </si>
  <si>
    <t>FP  [dB]</t>
  </si>
  <si>
    <t>Odchylka [m]</t>
  </si>
  <si>
    <t>TOF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</si>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</sst>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7"/>
            <c:dispRSqr val="0"/>
            <c:dispEq val="1"/>
            <c:trendlineLbl>
              <c:layout>
                <c:manualLayout>
                  <c:x val="-0.22002290407431729"/>
                  <c:y val="7.726748519703066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again!$J$5:$J$13</c:f>
              <c:numCache>
                <c:formatCode>General</c:formatCode>
                <c:ptCount val="9"/>
                <c:pt idx="0">
                  <c:v>-81.44</c:v>
                </c:pt>
                <c:pt idx="1">
                  <c:v>-84.03</c:v>
                </c:pt>
                <c:pt idx="2">
                  <c:v>-83.38</c:v>
                </c:pt>
                <c:pt idx="3">
                  <c:v>-88.6</c:v>
                </c:pt>
                <c:pt idx="4">
                  <c:v>-84.51</c:v>
                </c:pt>
                <c:pt idx="5">
                  <c:v>-83.98</c:v>
                </c:pt>
                <c:pt idx="6">
                  <c:v>-88.53</c:v>
                </c:pt>
                <c:pt idx="7">
                  <c:v>-88.61</c:v>
                </c:pt>
                <c:pt idx="8">
                  <c:v>-91.65</c:v>
                </c:pt>
              </c:numCache>
            </c:numRef>
          </c:xVal>
          <c:yVal>
            <c:numRef>
              <c:f>again!$R$5:$R$13</c:f>
              <c:numCache>
                <c:formatCode>0.00</c:formatCode>
                <c:ptCount val="9"/>
                <c:pt idx="0">
                  <c:v>513.66172441593505</c:v>
                </c:pt>
                <c:pt idx="1">
                  <c:v>513.84983528373766</c:v>
                </c:pt>
                <c:pt idx="2">
                  <c:v>514.01354388915149</c:v>
                </c:pt>
                <c:pt idx="3">
                  <c:v>514.49852043432838</c:v>
                </c:pt>
                <c:pt idx="4">
                  <c:v>514.04864392597335</c:v>
                </c:pt>
                <c:pt idx="5">
                  <c:v>514.29714166502595</c:v>
                </c:pt>
                <c:pt idx="6">
                  <c:v>514.46389559248848</c:v>
                </c:pt>
                <c:pt idx="7">
                  <c:v>515.37217610540904</c:v>
                </c:pt>
                <c:pt idx="8">
                  <c:v>515.56444347811248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7-41D3-80A3-C85CAF4DB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Opoždění </a:t>
                </a:r>
                <a:r>
                  <a:rPr lang="en-US"/>
                  <a:t>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backward val="4"/>
            <c:dispRSqr val="0"/>
            <c:dispEq val="1"/>
            <c:trendlineLbl>
              <c:layout>
                <c:manualLayout>
                  <c:x val="-0.11644925634295714"/>
                  <c:y val="-1.79352580927384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again!$J$14:$J$22</c:f>
              <c:numCache>
                <c:formatCode>General</c:formatCode>
                <c:ptCount val="9"/>
                <c:pt idx="0">
                  <c:v>-82.35</c:v>
                </c:pt>
                <c:pt idx="1">
                  <c:v>-83.88</c:v>
                </c:pt>
                <c:pt idx="2">
                  <c:v>-84.51</c:v>
                </c:pt>
                <c:pt idx="3">
                  <c:v>-88.86</c:v>
                </c:pt>
                <c:pt idx="4">
                  <c:v>-87.14</c:v>
                </c:pt>
                <c:pt idx="5">
                  <c:v>-88.84</c:v>
                </c:pt>
                <c:pt idx="6">
                  <c:v>-88.89</c:v>
                </c:pt>
                <c:pt idx="7">
                  <c:v>-92.22</c:v>
                </c:pt>
                <c:pt idx="8">
                  <c:v>-94.53</c:v>
                </c:pt>
              </c:numCache>
            </c:numRef>
          </c:xVal>
          <c:yVal>
            <c:numRef>
              <c:f>again!$R$14:$R$23</c:f>
              <c:numCache>
                <c:formatCode>0.00</c:formatCode>
                <c:ptCount val="10"/>
                <c:pt idx="0">
                  <c:v>513.99665187770029</c:v>
                </c:pt>
                <c:pt idx="1">
                  <c:v>514.42023147657414</c:v>
                </c:pt>
                <c:pt idx="2">
                  <c:v>514.6706507049737</c:v>
                </c:pt>
                <c:pt idx="3">
                  <c:v>515.0358123888135</c:v>
                </c:pt>
                <c:pt idx="4">
                  <c:v>514.79331350053974</c:v>
                </c:pt>
                <c:pt idx="5">
                  <c:v>515.33926139584673</c:v>
                </c:pt>
                <c:pt idx="6">
                  <c:v>515.49392376034791</c:v>
                </c:pt>
                <c:pt idx="7">
                  <c:v>516.20543823354421</c:v>
                </c:pt>
                <c:pt idx="8">
                  <c:v>517.43320854516742</c:v>
                </c:pt>
                <c:pt idx="9">
                  <c:v>513.65616069690827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A2-47AE-A83C-149B1962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3"/>
            <c:dispRSqr val="0"/>
            <c:dispEq val="1"/>
            <c:trendlineLbl>
              <c:layout>
                <c:manualLayout>
                  <c:x val="-0.11644925634295714"/>
                  <c:y val="-1.79352580927384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again!$J$23:$J$31</c:f>
              <c:numCache>
                <c:formatCode>General</c:formatCode>
                <c:ptCount val="9"/>
                <c:pt idx="0">
                  <c:v>-80.959999999999994</c:v>
                </c:pt>
                <c:pt idx="1">
                  <c:v>-83.03</c:v>
                </c:pt>
                <c:pt idx="2">
                  <c:v>-83.2</c:v>
                </c:pt>
                <c:pt idx="3">
                  <c:v>-85.42</c:v>
                </c:pt>
                <c:pt idx="4">
                  <c:v>-82.92</c:v>
                </c:pt>
                <c:pt idx="5">
                  <c:v>-86.49</c:v>
                </c:pt>
                <c:pt idx="6">
                  <c:v>-87.3</c:v>
                </c:pt>
                <c:pt idx="7">
                  <c:v>-91.8</c:v>
                </c:pt>
                <c:pt idx="8">
                  <c:v>-96.2</c:v>
                </c:pt>
              </c:numCache>
            </c:numRef>
          </c:xVal>
          <c:yVal>
            <c:numRef>
              <c:f>again!$R$23:$R$31</c:f>
              <c:numCache>
                <c:formatCode>0.00</c:formatCode>
                <c:ptCount val="9"/>
                <c:pt idx="0">
                  <c:v>513.65616069690827</c:v>
                </c:pt>
                <c:pt idx="1">
                  <c:v>514.06054709154819</c:v>
                </c:pt>
                <c:pt idx="2">
                  <c:v>514.04181742228184</c:v>
                </c:pt>
                <c:pt idx="3">
                  <c:v>514.58747305646193</c:v>
                </c:pt>
                <c:pt idx="4">
                  <c:v>514.58661508673242</c:v>
                </c:pt>
                <c:pt idx="5">
                  <c:v>515.03133988568186</c:v>
                </c:pt>
                <c:pt idx="6">
                  <c:v>515.18909525996537</c:v>
                </c:pt>
                <c:pt idx="7">
                  <c:v>515.72576892634709</c:v>
                </c:pt>
                <c:pt idx="8">
                  <c:v>516.00581650206436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FC-4AA5-86FE-E8A6B84A0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6"/>
            <c:dispRSqr val="0"/>
            <c:dispEq val="1"/>
            <c:trendlineLbl>
              <c:layout>
                <c:manualLayout>
                  <c:x val="-0.26021193323329672"/>
                  <c:y val="2.71751968503937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again!$J$32:$J$40</c:f>
              <c:numCache>
                <c:formatCode>General</c:formatCode>
                <c:ptCount val="9"/>
                <c:pt idx="0">
                  <c:v>-80.86</c:v>
                </c:pt>
                <c:pt idx="1">
                  <c:v>-81.34</c:v>
                </c:pt>
                <c:pt idx="2">
                  <c:v>-84.16</c:v>
                </c:pt>
                <c:pt idx="3">
                  <c:v>-82.88</c:v>
                </c:pt>
                <c:pt idx="4">
                  <c:v>-86.6</c:v>
                </c:pt>
                <c:pt idx="5">
                  <c:v>-85.75</c:v>
                </c:pt>
                <c:pt idx="6">
                  <c:v>-89.28</c:v>
                </c:pt>
                <c:pt idx="7">
                  <c:v>-90.46</c:v>
                </c:pt>
                <c:pt idx="8">
                  <c:v>-92.29</c:v>
                </c:pt>
              </c:numCache>
            </c:numRef>
          </c:xVal>
          <c:yVal>
            <c:numRef>
              <c:f>again!$R$32:$R$40</c:f>
              <c:numCache>
                <c:formatCode>0.00</c:formatCode>
                <c:ptCount val="9"/>
                <c:pt idx="0">
                  <c:v>513.74647855783553</c:v>
                </c:pt>
                <c:pt idx="1">
                  <c:v>514.73267470885764</c:v>
                </c:pt>
                <c:pt idx="2">
                  <c:v>515.48174424230251</c:v>
                </c:pt>
                <c:pt idx="3">
                  <c:v>515.11513854935151</c:v>
                </c:pt>
                <c:pt idx="4">
                  <c:v>514.28060496106013</c:v>
                </c:pt>
                <c:pt idx="5">
                  <c:v>514.52415431071427</c:v>
                </c:pt>
                <c:pt idx="6">
                  <c:v>515.04857544559013</c:v>
                </c:pt>
                <c:pt idx="7">
                  <c:v>515.5010616306414</c:v>
                </c:pt>
                <c:pt idx="8">
                  <c:v>515.80586665585633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8C-4722-A1FE-3F738BF8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3"/>
            <c:dispRSqr val="0"/>
            <c:dispEq val="1"/>
            <c:trendlineLbl>
              <c:layout>
                <c:manualLayout>
                  <c:x val="-0.11644925634295714"/>
                  <c:y val="-1.79352580927384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again!$J$41:$J$49</c:f>
              <c:numCache>
                <c:formatCode>General</c:formatCode>
                <c:ptCount val="9"/>
                <c:pt idx="0">
                  <c:v>-80.680000000000007</c:v>
                </c:pt>
                <c:pt idx="1">
                  <c:v>-82.7</c:v>
                </c:pt>
                <c:pt idx="2">
                  <c:v>-84.45</c:v>
                </c:pt>
                <c:pt idx="3">
                  <c:v>-87.3</c:v>
                </c:pt>
                <c:pt idx="4">
                  <c:v>-87.08</c:v>
                </c:pt>
                <c:pt idx="5">
                  <c:v>-88.69</c:v>
                </c:pt>
                <c:pt idx="6">
                  <c:v>-90.5</c:v>
                </c:pt>
                <c:pt idx="7">
                  <c:v>-95.24</c:v>
                </c:pt>
                <c:pt idx="8">
                  <c:v>-95.76</c:v>
                </c:pt>
              </c:numCache>
            </c:numRef>
          </c:xVal>
          <c:yVal>
            <c:numRef>
              <c:f>again!$R$41:$R$49</c:f>
              <c:numCache>
                <c:formatCode>0.00</c:formatCode>
                <c:ptCount val="9"/>
                <c:pt idx="0">
                  <c:v>513.39657148592312</c:v>
                </c:pt>
                <c:pt idx="1">
                  <c:v>514.30877447367459</c:v>
                </c:pt>
                <c:pt idx="2">
                  <c:v>514.13588010439116</c:v>
                </c:pt>
                <c:pt idx="3">
                  <c:v>514.76237172335198</c:v>
                </c:pt>
                <c:pt idx="4">
                  <c:v>514.06222536847667</c:v>
                </c:pt>
                <c:pt idx="5">
                  <c:v>515.05581278318743</c:v>
                </c:pt>
                <c:pt idx="6">
                  <c:v>514.86528557979557</c:v>
                </c:pt>
                <c:pt idx="7">
                  <c:v>516.14313315001857</c:v>
                </c:pt>
                <c:pt idx="8">
                  <c:v>515.93965753650764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F0-4770-BD66-3E05D12FB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again!$U$5</c:f>
              <c:strCache>
                <c:ptCount val="1"/>
                <c:pt idx="0">
                  <c:v>11a1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again!$U$6:$U$7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again!$V$6:$V$7</c:f>
              <c:numCache>
                <c:formatCode>General</c:formatCode>
                <c:ptCount val="2"/>
                <c:pt idx="0">
                  <c:v>513.35323243216362</c:v>
                </c:pt>
                <c:pt idx="1">
                  <c:v>516.85801332041126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F-402D-83BC-D0433DB8B66E}"/>
            </c:ext>
          </c:extLst>
        </c:ser>
        <c:ser>
          <c:idx val="1"/>
          <c:order val="1"/>
          <c:tx>
            <c:strRef>
              <c:f>again!$U$14</c:f>
              <c:strCache>
                <c:ptCount val="1"/>
                <c:pt idx="0">
                  <c:v>12a2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again!$U$15:$U$16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again!$V$15:$V$16</c:f>
              <c:numCache>
                <c:formatCode>General</c:formatCode>
                <c:ptCount val="2"/>
                <c:pt idx="0">
                  <c:v>513.27344451189799</c:v>
                </c:pt>
                <c:pt idx="1">
                  <c:v>518.30784251145599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3F-402D-83BC-D0433DB8B66E}"/>
            </c:ext>
          </c:extLst>
        </c:ser>
        <c:ser>
          <c:idx val="2"/>
          <c:order val="2"/>
          <c:tx>
            <c:strRef>
              <c:f>again!$U$24</c:f>
              <c:strCache>
                <c:ptCount val="1"/>
                <c:pt idx="0">
                  <c:v>13a3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again!$U$25:$U$26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again!$V$25:$V$26</c:f>
              <c:numCache>
                <c:formatCode>General</c:formatCode>
                <c:ptCount val="2"/>
                <c:pt idx="0">
                  <c:v>513.81538221665164</c:v>
                </c:pt>
                <c:pt idx="1">
                  <c:v>516.83408611006462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3F-402D-83BC-D0433DB8B66E}"/>
            </c:ext>
          </c:extLst>
        </c:ser>
        <c:ser>
          <c:idx val="3"/>
          <c:order val="3"/>
          <c:tx>
            <c:strRef>
              <c:f>again!$U$32</c:f>
              <c:strCache>
                <c:ptCount val="1"/>
                <c:pt idx="0">
                  <c:v>14a4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again!$U$33:$U$34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again!$V$33:$V$34</c:f>
              <c:numCache>
                <c:formatCode>General</c:formatCode>
                <c:ptCount val="2"/>
                <c:pt idx="0">
                  <c:v>514.30248557281777</c:v>
                </c:pt>
                <c:pt idx="1">
                  <c:v>516.35915431837896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3F-402D-83BC-D0433DB8B66E}"/>
            </c:ext>
          </c:extLst>
        </c:ser>
        <c:ser>
          <c:idx val="4"/>
          <c:order val="4"/>
          <c:tx>
            <c:strRef>
              <c:f>again!$U$41</c:f>
              <c:strCache>
                <c:ptCount val="1"/>
                <c:pt idx="0">
                  <c:v>15a5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again!$U$42:$U$43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again!$V$42:$V$43</c:f>
              <c:numCache>
                <c:formatCode>General</c:formatCode>
                <c:ptCount val="2"/>
                <c:pt idx="0">
                  <c:v>513.43608471470884</c:v>
                </c:pt>
                <c:pt idx="1">
                  <c:v>516.6805459779539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3F-402D-83BC-D0433DB8B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83439"/>
        <c:axId val="131007919"/>
      </c:scatterChart>
      <c:valAx>
        <c:axId val="130983439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1007919"/>
        <c:crosses val="autoZero"/>
        <c:crossBetween val="midCat"/>
      </c:valAx>
      <c:valAx>
        <c:axId val="1310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98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357620</xdr:colOff>
      <xdr:row>52</xdr:row>
      <xdr:rowOff>39399</xdr:rowOff>
    </xdr:from>
    <xdr:to>
      <xdr:col>13</xdr:col>
      <xdr:colOff>86591</xdr:colOff>
      <xdr:row>66</xdr:row>
      <xdr:rowOff>117764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DC142-0485-453B-82CF-63E8461B9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442480</xdr:colOff>
      <xdr:row>52</xdr:row>
      <xdr:rowOff>34636</xdr:rowOff>
    </xdr:from>
    <xdr:to>
      <xdr:col>19</xdr:col>
      <xdr:colOff>500495</xdr:colOff>
      <xdr:row>66</xdr:row>
      <xdr:rowOff>41563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D8E12-81A2-474C-A899-CDAD19F5B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490105</xdr:colOff>
      <xdr:row>68</xdr:row>
      <xdr:rowOff>92652</xdr:rowOff>
    </xdr:from>
    <xdr:to>
      <xdr:col>12</xdr:col>
      <xdr:colOff>1033029</xdr:colOff>
      <xdr:row>82</xdr:row>
      <xdr:rowOff>134216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D5244-ECFA-46C2-87BF-2B1E3503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502227</xdr:colOff>
      <xdr:row>68</xdr:row>
      <xdr:rowOff>69272</xdr:rowOff>
    </xdr:from>
    <xdr:to>
      <xdr:col>19</xdr:col>
      <xdr:colOff>563707</xdr:colOff>
      <xdr:row>82</xdr:row>
      <xdr:rowOff>110836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9799C0-A5EA-47FE-B5F8-5D7411D45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311729</xdr:colOff>
      <xdr:row>86</xdr:row>
      <xdr:rowOff>190499</xdr:rowOff>
    </xdr:from>
    <xdr:to>
      <xdr:col>15</xdr:col>
      <xdr:colOff>736890</xdr:colOff>
      <xdr:row>101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5097C7-A1EF-4FCC-87EE-30810C231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319087</xdr:colOff>
      <xdr:row>11</xdr:row>
      <xdr:rowOff>138112</xdr:rowOff>
    </xdr:from>
    <xdr:to>
      <xdr:col>32</xdr:col>
      <xdr:colOff>14287</xdr:colOff>
      <xdr:row>26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6E869C-0BF0-74F3-0F3F-513BF68CF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122769-F50A-455B-BBC5-7354FDF8659D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4" dataBound="0" tableColumnId="8"/>
      <queryTableField id="6" dataBound="0" tableColumnId="6"/>
      <queryTableField id="7" dataBound="0" tableColumnId="7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D238E5B-2792-457F-8372-E16D86BB2D65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4" dataBound="0" tableColumnId="7"/>
      <queryTableField id="6" dataBound="0" tableColumnId="6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C71A89C-745A-4662-AF7B-4975CD6BA971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7C5DC0C-614E-401C-B067-468DD06EB317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778FCE42-9DC5-488E-9767-FD9AFEED61D1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894F88B-7F1D-4459-A7CF-A828C3AF5688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2F58E97-5A34-49F3-A8B5-9B0973D32E42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A32223D5-EA3D-47D1-8501-E855A8BF50EE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E7F22E0-EF32-46C4-B6B9-ACF8EAA7DF04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0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BA6A32-130B-4153-AE5A-7C841B2A8FC8}" name="averages__1" displayName="averages__1" ref="E6:N11" tableType="queryTable" totalsRowShown="0" headerRowDxfId="92">
  <autoFilter ref="E6:N11" xr:uid="{DBBA6A32-130B-4153-AE5A-7C841B2A8FC8}"/>
  <tableColumns count="10">
    <tableColumn id="1" xr3:uid="{6BE2EAD6-6191-451E-8DD0-B80C8E2A1FAF}" uniqueName="1" name="Name" queryTableFieldId="1" dataDxfId="91"/>
    <tableColumn id="4" xr3:uid="{CD738C22-8AEC-4F80-94E1-FB89B06572B3}" uniqueName="4" name="TOF" queryTableFieldId="4" dataDxfId="90"/>
    <tableColumn id="2" xr3:uid="{F2B392E5-C33A-48C1-9A94-AFD5338ED738}" uniqueName="2" name="RX" queryTableFieldId="2" dataDxfId="89"/>
    <tableColumn id="3" xr3:uid="{2CC97D3B-9B27-4731-8D2F-C8E58EA97598}" uniqueName="3" name="FP" queryTableFieldId="3" dataDxfId="88"/>
    <tableColumn id="5" xr3:uid="{44AE026B-3246-49AC-8608-1CE24B6A4850}" uniqueName="5" name="dist" queryTableFieldId="5" dataDxfId="87"/>
    <tableColumn id="8" xr3:uid="{5F1F74E8-5C17-4F46-9311-50175CC142B1}" uniqueName="8" name="Meassurment" queryTableFieldId="14" dataDxfId="86">
      <calculatedColumnFormula>$D$5</calculatedColumnFormula>
    </tableColumn>
    <tableColumn id="6" xr3:uid="{02BD03D4-5D44-42C8-8FE9-5B80E3957F93}" uniqueName="6" name="dist_a_m" queryTableFieldId="6" dataDxfId="85">
      <calculatedColumnFormula>SQRT((POWER($E$5,2)+POWER($B6,2)))</calculatedColumnFormula>
    </tableColumn>
    <tableColumn id="7" xr3:uid="{E012C45B-309A-4DF7-AF9E-75D3329CEDD0}" uniqueName="7" name="dist_a_clk" queryTableFieldId="7" dataDxfId="84">
      <calculatedColumnFormula>(averages__1[[#This Row],[dist_a_m]]/$D$1)/$G$1</calculatedColumnFormula>
    </tableColumn>
    <tableColumn id="9" xr3:uid="{53E40489-98B3-4538-BC3E-066BA8DC69F8}" uniqueName="9" name="delta_clk" queryTableFieldId="9" dataDxfId="83">
      <calculatedColumnFormula>averages__1[[#This Row],[TOF]]-averages__1[[#This Row],[dist_a_clk]]</calculatedColumnFormula>
    </tableColumn>
    <tableColumn id="10" xr3:uid="{68844246-E7A6-41BC-96E1-0DD6ECF05C29}" uniqueName="10" name="delta_ns" queryTableFieldId="10" dataDxfId="82">
      <calculatedColumnFormula>averages__1[[#This Row],[delta_clk]]*$G$1*1000000000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9ACDD3-24DA-47CF-94ED-5BF83609CB63}" name="averages__2" displayName="averages__2" ref="E14:N19" tableType="queryTable" totalsRowShown="0">
  <autoFilter ref="E14:N19" xr:uid="{B69ACDD3-24DA-47CF-94ED-5BF83609CB63}"/>
  <tableColumns count="10">
    <tableColumn id="1" xr3:uid="{BBD26E3B-F99D-4FF9-B17D-9100D017E2A1}" uniqueName="1" name="Name" queryTableFieldId="1" dataDxfId="81"/>
    <tableColumn id="4" xr3:uid="{0AE63BB1-6325-47D3-A71A-BA9B93E52D02}" uniqueName="4" name="TOF" queryTableFieldId="4" dataDxfId="80"/>
    <tableColumn id="2" xr3:uid="{76C57C5E-69A9-41D8-8C1B-BA1AC53319AB}" uniqueName="2" name="RX" queryTableFieldId="2" dataDxfId="79"/>
    <tableColumn id="3" xr3:uid="{91B7AD08-B485-4EF1-9F2C-01B410763283}" uniqueName="3" name="FP" queryTableFieldId="3"/>
    <tableColumn id="5" xr3:uid="{7052B461-B432-442A-8753-CD44025E33A5}" uniqueName="5" name="dist" queryTableFieldId="5" dataDxfId="78"/>
    <tableColumn id="7" xr3:uid="{9D64C6AA-F026-4D94-AFF6-918FA317E6A5}" uniqueName="7" name="Meassurment" queryTableFieldId="14" dataDxfId="77">
      <calculatedColumnFormula>$D$13</calculatedColumnFormula>
    </tableColumn>
    <tableColumn id="6" xr3:uid="{153B49A5-7DC9-4A69-966E-576AAC9ED706}" uniqueName="6" name="dist_a_m" queryTableFieldId="6" dataDxfId="76">
      <calculatedColumnFormula>SQRT((POWER($E$13,2)+POWER($B14,2)))</calculatedColumnFormula>
    </tableColumn>
    <tableColumn id="10" xr3:uid="{A40DABED-B7C2-4570-9840-B127A158A486}" uniqueName="10" name="dist_a_clk" queryTableFieldId="10" dataDxfId="75">
      <calculatedColumnFormula>(averages__2[[#This Row],[dist_a_m]]/$D$1)/$G$1</calculatedColumnFormula>
    </tableColumn>
    <tableColumn id="11" xr3:uid="{0D5DA930-2187-4712-8BE9-92F1FB7E3C13}" uniqueName="11" name="delta_clk" queryTableFieldId="11" dataDxfId="74">
      <calculatedColumnFormula>averages__2[[#This Row],[TOF]]-averages__2[[#This Row],[dist_a_clk]]</calculatedColumnFormula>
    </tableColumn>
    <tableColumn id="12" xr3:uid="{E0FE994F-BB40-4C17-A901-ED7626BABEDD}" uniqueName="12" name="delta_ns" queryTableFieldId="12" dataDxfId="73">
      <calculatedColumnFormula>averages__2[[#This Row],[delta_clk]]*$G$1*1000000000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7EAEBB-C9B3-4A59-84B4-FF29D76AF0C1}" name="averages__3" displayName="averages__3" ref="E22:N27" tableType="queryTable" totalsRowShown="0">
  <autoFilter ref="E22:N27" xr:uid="{1C7EAEBB-C9B3-4A59-84B4-FF29D76AF0C1}"/>
  <tableColumns count="10">
    <tableColumn id="1" xr3:uid="{D0F187A7-B76D-4420-B67D-376A946805A1}" uniqueName="1" name="Name" queryTableFieldId="1" dataDxfId="72"/>
    <tableColumn id="4" xr3:uid="{03398758-57DA-4E99-945A-337DF4CA0511}" uniqueName="4" name="TOF" queryTableFieldId="4" dataDxfId="71"/>
    <tableColumn id="2" xr3:uid="{E8D3E0F9-9BF4-425F-AA5E-3BC826221C9C}" uniqueName="2" name="RX" queryTableFieldId="2" dataDxfId="70"/>
    <tableColumn id="3" xr3:uid="{BBD223B2-3560-4548-92E4-18AA78B2B343}" uniqueName="3" name="FP" queryTableFieldId="3"/>
    <tableColumn id="5" xr3:uid="{3C5A8696-CEF7-41B3-AFA0-B2C22D277361}" uniqueName="5" name="dist" queryTableFieldId="5" dataDxfId="69"/>
    <tableColumn id="10" xr3:uid="{DD027B65-A079-4A20-B01F-0D83B6B7AD56}" uniqueName="10" name="Meassurment" queryTableFieldId="11" dataDxfId="68">
      <calculatedColumnFormula>$D$21</calculatedColumnFormula>
    </tableColumn>
    <tableColumn id="6" xr3:uid="{00E58DB8-540C-45F3-AED7-8E7ACD410AF8}" uniqueName="6" name="dist_a_m" queryTableFieldId="6" dataDxfId="67">
      <calculatedColumnFormula>SQRT((POWER($E$21,2)+POWER($B22,2)))</calculatedColumnFormula>
    </tableColumn>
    <tableColumn id="7" xr3:uid="{91EFF87D-A886-4E10-8C7C-297AF523C4E0}" uniqueName="7" name="dist_a_clk" queryTableFieldId="7" dataDxfId="66">
      <calculatedColumnFormula>(averages__3[[#This Row],[dist_a_m]]/$D$1)/$G$1</calculatedColumnFormula>
    </tableColumn>
    <tableColumn id="8" xr3:uid="{B83D5DBC-FC75-4E1A-911B-B7E9848C543B}" uniqueName="8" name="delta_clk" queryTableFieldId="8" dataDxfId="65">
      <calculatedColumnFormula>averages__3[[#This Row],[TOF]]-averages__3[[#This Row],[dist_a_clk]]</calculatedColumnFormula>
    </tableColumn>
    <tableColumn id="9" xr3:uid="{B178F70A-A080-4373-9089-F0C5C0CCCC5F}" uniqueName="9" name="delta_ns" queryTableFieldId="9" dataDxfId="64">
      <calculatedColumnFormula>averages__3[[#This Row],[delta_clk]]*$G$1*1000000000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922067-138D-4162-9306-45AED49B0ED4}" name="averages__4" displayName="averages__4" ref="E30:N35" tableType="queryTable" totalsRowShown="0">
  <autoFilter ref="E30:N35" xr:uid="{D1922067-138D-4162-9306-45AED49B0ED4}"/>
  <tableColumns count="10">
    <tableColumn id="1" xr3:uid="{1ECA0A8F-0A9F-459C-A471-B31761CA2067}" uniqueName="1" name="Name" queryTableFieldId="1" dataDxfId="63"/>
    <tableColumn id="4" xr3:uid="{C690AE82-8B7C-4900-9AE0-10647B298E01}" uniqueName="4" name="TOF" queryTableFieldId="4" dataDxfId="62"/>
    <tableColumn id="2" xr3:uid="{19005428-26DF-440F-8062-21B17193ACEC}" uniqueName="2" name="RX" queryTableFieldId="2" dataDxfId="61"/>
    <tableColumn id="3" xr3:uid="{17FCA190-682C-4800-8BC6-8BB40FF2DA8C}" uniqueName="3" name="FP" queryTableFieldId="3"/>
    <tableColumn id="5" xr3:uid="{3CAF09B8-F2BE-4A6F-A782-918A27B82575}" uniqueName="5" name="dist" queryTableFieldId="5" dataDxfId="60"/>
    <tableColumn id="10" xr3:uid="{36654247-F083-40D7-A936-5FDAA3F10B9C}" uniqueName="10" name="Meassurment" queryTableFieldId="11" dataDxfId="59">
      <calculatedColumnFormula>$D$29</calculatedColumnFormula>
    </tableColumn>
    <tableColumn id="6" xr3:uid="{021F3BDB-EA13-43B2-B335-3592E5DFB4E2}" uniqueName="6" name="dist_a_m" queryTableFieldId="6" dataDxfId="58">
      <calculatedColumnFormula>SQRT((POWER($E$29,2)+POWER($B30,2)))</calculatedColumnFormula>
    </tableColumn>
    <tableColumn id="7" xr3:uid="{F4041314-2973-4DBE-ABBF-6A2448A9B774}" uniqueName="7" name="dist_a_clk" queryTableFieldId="7" dataDxfId="57">
      <calculatedColumnFormula>(averages__4[[#This Row],[dist_a_m]]/$D$1)/$G$1</calculatedColumnFormula>
    </tableColumn>
    <tableColumn id="8" xr3:uid="{3D48A14C-B5E4-4F4C-A081-4937D9AFA06B}" uniqueName="8" name="delta_clk" queryTableFieldId="8" dataDxfId="56">
      <calculatedColumnFormula>averages__4[[#This Row],[TOF]]-averages__4[[#This Row],[dist_a_clk]]</calculatedColumnFormula>
    </tableColumn>
    <tableColumn id="9" xr3:uid="{B65C3C1C-FD54-431D-86C9-13D79FB38E69}" uniqueName="9" name="delta_ns" queryTableFieldId="9" dataDxfId="55">
      <calculatedColumnFormula>averages__4[[#This Row],[delta_clk]]*$G$1*1000000000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4EC993-6AFB-48EF-9358-64B5A8D9B87B}" name="averages__5" displayName="averages__5" ref="E38:N43" tableType="queryTable" totalsRowShown="0">
  <autoFilter ref="E38:N43" xr:uid="{014EC993-6AFB-48EF-9358-64B5A8D9B87B}"/>
  <tableColumns count="10">
    <tableColumn id="1" xr3:uid="{6E9F241C-7E2D-4083-A559-7BA344A6CFE2}" uniqueName="1" name="Name" queryTableFieldId="1" dataDxfId="54"/>
    <tableColumn id="4" xr3:uid="{2DAF417A-9196-4F76-A28E-AF6446375D0E}" uniqueName="4" name="TOF" queryTableFieldId="4" dataDxfId="53"/>
    <tableColumn id="2" xr3:uid="{BE154D24-949D-4346-A336-4BBF394DB163}" uniqueName="2" name="RX" queryTableFieldId="2" dataDxfId="52"/>
    <tableColumn id="3" xr3:uid="{96522DCA-47F3-468F-BA72-203AB2AAA9C4}" uniqueName="3" name="FP" queryTableFieldId="3"/>
    <tableColumn id="5" xr3:uid="{F40F102F-166C-4FBC-B5E9-221F92103E16}" uniqueName="5" name="dist" queryTableFieldId="5" dataDxfId="51"/>
    <tableColumn id="10" xr3:uid="{247772EF-7906-45A7-8394-0391D9EC26F2}" uniqueName="10" name="Meassurment" queryTableFieldId="11" dataDxfId="50">
      <calculatedColumnFormula>$D$37</calculatedColumnFormula>
    </tableColumn>
    <tableColumn id="6" xr3:uid="{83B39E36-D97A-4E50-A765-591897381FC3}" uniqueName="6" name="dist_a_m" queryTableFieldId="6" dataDxfId="49">
      <calculatedColumnFormula>SQRT((POWER($E$37,2)+POWER($B38,2)))</calculatedColumnFormula>
    </tableColumn>
    <tableColumn id="7" xr3:uid="{0400513D-DAE2-4B18-BE64-79BC6CB26CF9}" uniqueName="7" name="dist_a_clk" queryTableFieldId="7" dataDxfId="48">
      <calculatedColumnFormula>(averages__5[[#This Row],[dist_a_m]]/$D$1)/$G$1</calculatedColumnFormula>
    </tableColumn>
    <tableColumn id="8" xr3:uid="{D44D1F5A-B5CA-4CBC-92D7-0ED61EBEA759}" uniqueName="8" name="delta_clk" queryTableFieldId="8" dataDxfId="47">
      <calculatedColumnFormula>averages__5[[#This Row],[TOF]]-averages__5[[#This Row],[dist_a_clk]]</calculatedColumnFormula>
    </tableColumn>
    <tableColumn id="9" xr3:uid="{73F4CA19-6C30-44AE-B85C-D880BC3624BC}" uniqueName="9" name="delta_ns" queryTableFieldId="9" dataDxfId="46">
      <calculatedColumnFormula>averages__5[[#This Row],[delta_clk]]*$G$1*1000000000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965D22-544F-4AFD-904F-50E7D15F4625}" name="averages__6" displayName="averages__6" ref="E46:N51" tableType="queryTable" totalsRowShown="0">
  <autoFilter ref="E46:N51" xr:uid="{4E965D22-544F-4AFD-904F-50E7D15F4625}"/>
  <tableColumns count="10">
    <tableColumn id="1" xr3:uid="{33461054-B179-4BA0-AFB1-EE84CA330EE1}" uniqueName="1" name="Name" queryTableFieldId="1" dataDxfId="45"/>
    <tableColumn id="4" xr3:uid="{92CAC3A8-89D9-4C86-96C7-90D294B72C3C}" uniqueName="4" name="TOF" queryTableFieldId="4" dataDxfId="44"/>
    <tableColumn id="2" xr3:uid="{2C89AD9C-15B4-4820-9552-451F7E4E4692}" uniqueName="2" name="RX" queryTableFieldId="2" dataDxfId="43"/>
    <tableColumn id="3" xr3:uid="{B7CB428D-DFE2-480D-8E4D-BC4DC1DA2882}" uniqueName="3" name="FP" queryTableFieldId="3"/>
    <tableColumn id="5" xr3:uid="{9AEBD26F-047A-4A8F-B756-2C31B3B0791C}" uniqueName="5" name="dist" queryTableFieldId="5" dataDxfId="42"/>
    <tableColumn id="10" xr3:uid="{B40DA150-2D0A-45F8-9302-329B942B7C52}" uniqueName="10" name="Meassurment" queryTableFieldId="11" dataDxfId="41">
      <calculatedColumnFormula>$D$45</calculatedColumnFormula>
    </tableColumn>
    <tableColumn id="6" xr3:uid="{5E7C9AD4-20F1-4C27-BABA-4511ADAB34CE}" uniqueName="6" name="dist_a_m" queryTableFieldId="6" dataDxfId="40">
      <calculatedColumnFormula>SQRT((POWER($E$45,2)+POWER($B46,2)))</calculatedColumnFormula>
    </tableColumn>
    <tableColumn id="7" xr3:uid="{BB396A54-22C4-4AA7-9722-CBE61C20EFA8}" uniqueName="7" name="dist_a_clk" queryTableFieldId="7" dataDxfId="39">
      <calculatedColumnFormula>(averages__6[[#This Row],[dist_a_m]]/$D$1)/$G$1</calculatedColumnFormula>
    </tableColumn>
    <tableColumn id="8" xr3:uid="{B94D8C20-C802-48BD-AF38-6B872E12BCDF}" uniqueName="8" name="delta_clk" queryTableFieldId="8" dataDxfId="38">
      <calculatedColumnFormula>averages__6[[#This Row],[TOF]]-averages__6[[#This Row],[dist_a_clk]]</calculatedColumnFormula>
    </tableColumn>
    <tableColumn id="9" xr3:uid="{95F7AB66-D7B0-4C6C-BCB3-892B7F645365}" uniqueName="9" name="delta_ns" queryTableFieldId="9" dataDxfId="37">
      <calculatedColumnFormula>averages__6[[#This Row],[delta_clk]]*$G$1*1000000000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8A867D-37B4-48AB-A837-28CBDADD0DDC}" name="averages__7" displayName="averages__7" ref="E54:N59" tableType="queryTable" totalsRowShown="0">
  <autoFilter ref="E54:N59" xr:uid="{3A8A867D-37B4-48AB-A837-28CBDADD0DDC}"/>
  <tableColumns count="10">
    <tableColumn id="1" xr3:uid="{8305AF47-3CF8-439A-BE23-98B27A8069C5}" uniqueName="1" name="Name" queryTableFieldId="1" dataDxfId="36"/>
    <tableColumn id="4" xr3:uid="{D355B241-7E74-4E61-B30D-CE2722796E5D}" uniqueName="4" name="TOF" queryTableFieldId="4" dataDxfId="35"/>
    <tableColumn id="2" xr3:uid="{39DCA220-9246-4334-A4C2-78C35BB7EBD3}" uniqueName="2" name="RX" queryTableFieldId="2" dataDxfId="34"/>
    <tableColumn id="3" xr3:uid="{EA971E51-F1AF-43AB-B548-0958CC21E7B1}" uniqueName="3" name="FP" queryTableFieldId="3"/>
    <tableColumn id="5" xr3:uid="{58980443-12F6-49FE-9255-1C1B5DB24194}" uniqueName="5" name="dist" queryTableFieldId="5" dataDxfId="33"/>
    <tableColumn id="10" xr3:uid="{BD5C5B0E-86EC-44B2-943D-5FC441299A7F}" uniqueName="10" name="Meassurment" queryTableFieldId="11" dataDxfId="32">
      <calculatedColumnFormula>$D$53</calculatedColumnFormula>
    </tableColumn>
    <tableColumn id="6" xr3:uid="{17811F46-150C-4948-BC1C-6E0E9C20BFB2}" uniqueName="6" name="dist_a_m" queryTableFieldId="6" dataDxfId="31">
      <calculatedColumnFormula>SQRT((POWER($E$53,2)+POWER($B54,2)))</calculatedColumnFormula>
    </tableColumn>
    <tableColumn id="7" xr3:uid="{C0B5514C-FCDF-4134-BFCC-251909282A9D}" uniqueName="7" name="dist_a_clk" queryTableFieldId="7" dataDxfId="30">
      <calculatedColumnFormula>(averages__7[[#This Row],[dist_a_m]]/$D$1)/$G$1</calculatedColumnFormula>
    </tableColumn>
    <tableColumn id="8" xr3:uid="{349DED56-8378-41CB-B71D-094C287D8699}" uniqueName="8" name="delta_clk" queryTableFieldId="8" dataDxfId="29">
      <calculatedColumnFormula>averages__7[[#This Row],[TOF]]-averages__7[[#This Row],[dist_a_clk]]</calculatedColumnFormula>
    </tableColumn>
    <tableColumn id="9" xr3:uid="{F7925E15-8C57-403D-8E67-8DB12F3DC4B7}" uniqueName="9" name="delta_ns" queryTableFieldId="9" dataDxfId="28">
      <calculatedColumnFormula>averages__7[[#This Row],[delta_clk]]*$G$1*1000000000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6A22239-BAB6-4E29-9FDA-9EE0332830CA}" name="averages__8" displayName="averages__8" ref="E62:N67" tableType="queryTable" totalsRowShown="0">
  <autoFilter ref="E62:N67" xr:uid="{06A22239-BAB6-4E29-9FDA-9EE0332830CA}"/>
  <tableColumns count="10">
    <tableColumn id="1" xr3:uid="{0002ECE2-9B24-4DBF-B22C-B3E4C5D7793F}" uniqueName="1" name="Name" queryTableFieldId="1" dataDxfId="27"/>
    <tableColumn id="4" xr3:uid="{BF9A1CA8-62CC-47E0-8720-DAC0C79BCDBC}" uniqueName="4" name="TOF" queryTableFieldId="4" dataDxfId="26"/>
    <tableColumn id="2" xr3:uid="{35956BC3-E9BF-4A55-8AF3-0459E8FE7CE1}" uniqueName="2" name="RX" queryTableFieldId="2" dataDxfId="25"/>
    <tableColumn id="3" xr3:uid="{43269DBC-8775-497A-A166-A76BB1A9544D}" uniqueName="3" name="FP" queryTableFieldId="3"/>
    <tableColumn id="5" xr3:uid="{C20B29DF-DDEF-4AD5-B747-916AD86057AD}" uniqueName="5" name="dist" queryTableFieldId="5" dataDxfId="24"/>
    <tableColumn id="10" xr3:uid="{389C82CC-554B-49B9-A0BB-AE1480656EAD}" uniqueName="10" name="Meassurment" queryTableFieldId="11" dataDxfId="23">
      <calculatedColumnFormula>$D$61</calculatedColumnFormula>
    </tableColumn>
    <tableColumn id="6" xr3:uid="{07530216-93CD-4E8D-AC57-F8EFD86DA588}" uniqueName="6" name="dist_a_m" queryTableFieldId="6" dataDxfId="22">
      <calculatedColumnFormula>SQRT((POWER($E$61,2)+POWER($B62,2)))</calculatedColumnFormula>
    </tableColumn>
    <tableColumn id="7" xr3:uid="{60F9616D-32C3-42F6-A303-56F558D0C1D6}" uniqueName="7" name="dist_a_clk" queryTableFieldId="7" dataDxfId="21">
      <calculatedColumnFormula>(averages__8[[#This Row],[dist_a_m]]/$D$1)/$G$1</calculatedColumnFormula>
    </tableColumn>
    <tableColumn id="8" xr3:uid="{1CFB3F67-00E8-4C5B-BDAC-82647CA4EDE1}" uniqueName="8" name="delta_clk" queryTableFieldId="8" dataDxfId="20">
      <calculatedColumnFormula>averages__8[[#This Row],[TOF]]-averages__8[[#This Row],[dist_a_clk]]</calculatedColumnFormula>
    </tableColumn>
    <tableColumn id="9" xr3:uid="{79BA37DD-08E5-46D2-87E8-6C7146C1A0D1}" uniqueName="9" name="delta_ns" queryTableFieldId="9" dataDxfId="19">
      <calculatedColumnFormula>averages__8[[#This Row],[delta_clk]]*$G$1*1000000000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0B159A0-9222-424F-ABBA-868C4F3578CF}" name="averages__9" displayName="averages__9" ref="E70:N75" tableType="queryTable" totalsRowShown="0">
  <autoFilter ref="E70:N75" xr:uid="{70B159A0-9222-424F-ABBA-868C4F3578CF}"/>
  <tableColumns count="10">
    <tableColumn id="1" xr3:uid="{0DED8899-8012-4555-96A3-A9F95C3CB751}" uniqueName="1" name="Name" queryTableFieldId="1" dataDxfId="18"/>
    <tableColumn id="4" xr3:uid="{514F4C7A-5C1D-4E6B-8FFD-A0377DFC82F2}" uniqueName="4" name="TOF_clk" queryTableFieldId="4" dataDxfId="17"/>
    <tableColumn id="2" xr3:uid="{5EAA6AA6-D32B-416D-BB36-F01247BA75C0}" uniqueName="2" name="RX" queryTableFieldId="2" dataDxfId="16"/>
    <tableColumn id="3" xr3:uid="{BE6C09EA-836A-45B3-A36A-2D54F09E045D}" uniqueName="3" name="FP" queryTableFieldId="3"/>
    <tableColumn id="5" xr3:uid="{84930804-9201-465F-B935-3D00BF661DBE}" uniqueName="5" name="dist_meass" queryTableFieldId="5" dataDxfId="15"/>
    <tableColumn id="10" xr3:uid="{A0F21B33-3087-4FC3-8ABD-A9BFACEDD225}" uniqueName="10" name="Meassurment" queryTableFieldId="10" dataDxfId="14">
      <calculatedColumnFormula>$D$69</calculatedColumnFormula>
    </tableColumn>
    <tableColumn id="6" xr3:uid="{4308EACA-EC4F-4771-8AC1-4EE2AF1DAC29}" uniqueName="6" name="dist_a_m" queryTableFieldId="6" dataDxfId="13">
      <calculatedColumnFormula>SQRT((POWER($E$69,2)+POWER($B70,2)))</calculatedColumnFormula>
    </tableColumn>
    <tableColumn id="7" xr3:uid="{7D28837F-B892-4A34-93C1-CE20351ED433}" uniqueName="7" name="dist_a_clk" queryTableFieldId="7" dataDxfId="12">
      <calculatedColumnFormula>(averages__9[[#This Row],[dist_a_m]]/$D$1)/$G$1</calculatedColumnFormula>
    </tableColumn>
    <tableColumn id="8" xr3:uid="{543BE994-756A-4542-B5F5-9D592A5A72F6}" uniqueName="8" name="delta_clk" queryTableFieldId="8" dataDxfId="11">
      <calculatedColumnFormula>averages__9[[#This Row],[TOF_clk]]-averages__9[[#This Row],[dist_a_clk]]</calculatedColumnFormula>
    </tableColumn>
    <tableColumn id="9" xr3:uid="{CC4A92B9-8CA3-475D-A6DB-8870370FAD62}" uniqueName="9" name="delta_ns" queryTableFieldId="9" dataDxfId="10">
      <calculatedColumnFormula>averages__9[[#This Row],[delta_clk]]*$G$1*1000000000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ED6F10-8FB0-431F-8DCD-49B396BE2F19}" name="Table13" displayName="Table13" ref="B5:C10" totalsRowShown="0">
  <autoFilter ref="B5:C10" xr:uid="{14B5AADC-E06E-4F28-B745-E59AEA649D17}"/>
  <tableColumns count="2">
    <tableColumn id="1" xr3:uid="{D8A28802-DB61-4127-B4DD-BF6CD368F922}" name="Name"/>
    <tableColumn id="2" xr3:uid="{875FDAFC-C40F-47D2-A3F0-07FC7C4F489B}" name="Trang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F8899-B70A-4B66-B72B-46E23E186F7B}" name="Table36" displayName="Table36" ref="B12:D21" totalsRowShown="0">
  <autoFilter ref="B12:D21" xr:uid="{76315271-8B92-4269-9A58-66A4CF2F59BC}"/>
  <tableColumns count="3">
    <tableColumn id="1" xr3:uid="{2CB79130-B4FB-40AC-A04F-54E787D250AA}" name="Meassurment"/>
    <tableColumn id="2" xr3:uid="{79F6623D-256F-4597-B48B-9D6C59E14673}" name="Distance"/>
    <tableColumn id="3" xr3:uid="{219E7E05-9C7B-4E76-8625-7C4D1D8D6A8C}" name="devi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DA2F9E-4E3B-40E7-9273-4B1A0DE35F08}" name="Table47" displayName="Table47" ref="H4:S49" totalsRowShown="0">
  <autoFilter ref="H4:S49" xr:uid="{1C772660-44FD-4ED4-BD7B-ED58F33EF18D}"/>
  <sortState xmlns:xlrd2="http://schemas.microsoft.com/office/spreadsheetml/2017/richdata2" ref="H5:S49">
    <sortCondition ref="H4:H49"/>
  </sortState>
  <tableColumns count="12">
    <tableColumn id="1" xr3:uid="{A6D2C594-77AA-4D12-B985-4BA1AC0D568B}" name="Name"/>
    <tableColumn id="4" xr3:uid="{BE6701B3-7D91-4A40-8F3D-E32CEB959D1A}" name="TOF_clk" dataDxfId="9"/>
    <tableColumn id="2" xr3:uid="{12ED1ED4-EF22-4A8D-A062-8B6DA3255936}" name="RX" dataDxfId="8"/>
    <tableColumn id="3" xr3:uid="{E92F7379-A96C-4927-8E79-8549C1972EA3}" name="FP" dataDxfId="7"/>
    <tableColumn id="5" xr3:uid="{AA99A1BF-5E17-4835-9A39-091FC859B2EF}" name="dist_meass_m" dataDxfId="6"/>
    <tableColumn id="6" xr3:uid="{0DBB903F-04E3-488D-A252-A62E5E936375}" name="meassurment" dataDxfId="5"/>
    <tableColumn id="7" xr3:uid="{64A4633E-EFC7-41F0-A16F-8ECC4ED84283}" name="dist_a_m" dataDxfId="4">
      <calculatedColumnFormula>SQRT(VLOOKUP(M5,Table36[#All],2,FALSE)^2 + VLOOKUP(H5,Table13[#All],2,FALSE)^2)</calculatedColumnFormula>
    </tableColumn>
    <tableColumn id="8" xr3:uid="{FF8AAC60-E90B-410E-9DAE-990997C3D211}" name="deviation">
      <calculatedColumnFormula>VLOOKUP(M5,Table36[#All],3,FALSE)</calculatedColumnFormula>
    </tableColumn>
    <tableColumn id="9" xr3:uid="{8C7BF2B2-9F85-49ED-9C36-D76C3992A254}" name="dist_a_clk" dataDxfId="3">
      <calculatedColumnFormula>(N5/$C$2)/$C$3</calculatedColumnFormula>
    </tableColumn>
    <tableColumn id="10" xr3:uid="{9B90C735-222D-498B-9CA3-843EDCDDD8E7}" name="delta_clk" dataDxfId="2">
      <calculatedColumnFormula>I5-P5</calculatedColumnFormula>
    </tableColumn>
    <tableColumn id="11" xr3:uid="{34306618-7114-4292-B86D-E4E2380917C7}" name="delta_ns" dataDxfId="1">
      <calculatedColumnFormula>Q5*$C$3*1000000000</calculatedColumnFormula>
    </tableColumn>
    <tableColumn id="12" xr3:uid="{63A83DC6-1DC0-499B-BE86-C5B58010B393}" name="deviation_ns" dataDxfId="0">
      <calculatedColumnFormula>((Table47[[#This Row],[deviation]]/$C$2)*1000000000)/2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D9C3-C23E-48B2-A931-DD8C3B3DE86C}">
  <dimension ref="A1:N75"/>
  <sheetViews>
    <sheetView topLeftCell="A29" workbookViewId="0">
      <selection activeCell="I79" sqref="I79"/>
    </sheetView>
  </sheetViews>
  <sheetFormatPr defaultRowHeight="15" x14ac:dyDescent="0.25"/>
  <cols>
    <col min="1" max="4" width="10.42578125" customWidth="1"/>
    <col min="5" max="5" width="8.5703125" bestFit="1" customWidth="1"/>
    <col min="6" max="6" width="8.7109375" bestFit="1" customWidth="1"/>
    <col min="7" max="7" width="6.85546875" bestFit="1" customWidth="1"/>
    <col min="8" max="8" width="9.28515625" customWidth="1"/>
    <col min="9" max="9" width="6.7109375" bestFit="1" customWidth="1"/>
    <col min="10" max="10" width="11.140625" bestFit="1" customWidth="1"/>
    <col min="11" max="11" width="12" bestFit="1" customWidth="1"/>
    <col min="12" max="12" width="11.28515625" bestFit="1" customWidth="1"/>
    <col min="13" max="13" width="10.85546875" bestFit="1" customWidth="1"/>
  </cols>
  <sheetData>
    <row r="1" spans="1:14" x14ac:dyDescent="0.25">
      <c r="C1" t="s">
        <v>15</v>
      </c>
      <c r="D1">
        <v>299702547</v>
      </c>
      <c r="E1" t="s">
        <v>17</v>
      </c>
      <c r="F1" t="s">
        <v>16</v>
      </c>
      <c r="G1" s="2">
        <v>1.5650040064103001E-11</v>
      </c>
      <c r="H1" t="s">
        <v>18</v>
      </c>
    </row>
    <row r="5" spans="1:14" x14ac:dyDescent="0.25">
      <c r="A5" t="s">
        <v>0</v>
      </c>
      <c r="B5" t="s">
        <v>8</v>
      </c>
      <c r="D5">
        <v>1</v>
      </c>
      <c r="E5">
        <v>1.3125</v>
      </c>
      <c r="F5">
        <v>2E-3</v>
      </c>
    </row>
    <row r="6" spans="1:14" x14ac:dyDescent="0.25">
      <c r="A6" t="s">
        <v>3</v>
      </c>
      <c r="B6">
        <v>0.127</v>
      </c>
      <c r="E6" t="s">
        <v>0</v>
      </c>
      <c r="F6" t="s">
        <v>32</v>
      </c>
      <c r="G6" t="s">
        <v>1</v>
      </c>
      <c r="H6" t="s">
        <v>2</v>
      </c>
      <c r="I6" t="s">
        <v>33</v>
      </c>
      <c r="J6" t="s">
        <v>19</v>
      </c>
      <c r="K6" t="s">
        <v>13</v>
      </c>
      <c r="L6" t="s">
        <v>14</v>
      </c>
      <c r="M6" t="s">
        <v>11</v>
      </c>
      <c r="N6" t="s">
        <v>12</v>
      </c>
    </row>
    <row r="7" spans="1:14" x14ac:dyDescent="0.25">
      <c r="A7" t="s">
        <v>4</v>
      </c>
      <c r="B7">
        <v>0.128</v>
      </c>
      <c r="E7" t="s">
        <v>3</v>
      </c>
      <c r="F7" s="1">
        <v>33102.887806535153</v>
      </c>
      <c r="G7">
        <v>-81.44</v>
      </c>
      <c r="H7">
        <v>-91.3</v>
      </c>
      <c r="I7" s="1">
        <v>155.26435716950411</v>
      </c>
      <c r="J7" s="1">
        <f t="shared" ref="J7:J11" si="0">$D$5</f>
        <v>1</v>
      </c>
      <c r="K7" s="1">
        <f t="shared" ref="K7:K11" si="1">SQRT((POWER($E$5,2)+POWER($B6,2)))</f>
        <v>1.3186300656363028</v>
      </c>
      <c r="L7" s="1">
        <f>(averages__1[[#This Row],[dist_a_m]]/$D$1)/$G$1</f>
        <v>281.13640449642179</v>
      </c>
      <c r="M7" s="1">
        <f>averages__1[[#This Row],[TOF]]-averages__1[[#This Row],[dist_a_clk]]</f>
        <v>32821.751402038732</v>
      </c>
      <c r="N7" s="1">
        <f>averages__1[[#This Row],[delta_clk]]*$G$1*1000000000</f>
        <v>513.66172441593505</v>
      </c>
    </row>
    <row r="8" spans="1:14" x14ac:dyDescent="0.25">
      <c r="A8" t="s">
        <v>5</v>
      </c>
      <c r="B8">
        <v>0.13900000000000001</v>
      </c>
      <c r="E8" t="s">
        <v>4</v>
      </c>
      <c r="F8" s="1">
        <v>33124.309481664619</v>
      </c>
      <c r="G8">
        <v>-82.35</v>
      </c>
      <c r="H8">
        <v>-91.12</v>
      </c>
      <c r="I8" s="1">
        <v>155.36483247056876</v>
      </c>
      <c r="J8" s="1">
        <f t="shared" si="0"/>
        <v>1</v>
      </c>
      <c r="K8" s="1">
        <f t="shared" si="1"/>
        <v>1.3187267533496088</v>
      </c>
      <c r="L8" s="1">
        <f>(averages__1[[#This Row],[dist_a_m]]/$D$1)/$G$1</f>
        <v>281.15701864498868</v>
      </c>
      <c r="M8" s="1">
        <f>averages__1[[#This Row],[TOF]]-averages__1[[#This Row],[dist_a_clk]]</f>
        <v>32843.152463019629</v>
      </c>
      <c r="N8" s="1">
        <f>averages__1[[#This Row],[delta_clk]]*$G$1*1000000000</f>
        <v>513.99665187770029</v>
      </c>
    </row>
    <row r="9" spans="1:14" x14ac:dyDescent="0.25">
      <c r="A9" t="s">
        <v>6</v>
      </c>
      <c r="B9">
        <v>0.14099999999999999</v>
      </c>
      <c r="E9" t="s">
        <v>5</v>
      </c>
      <c r="F9" s="1">
        <v>33102.79023001757</v>
      </c>
      <c r="G9">
        <v>-80.959999999999994</v>
      </c>
      <c r="H9">
        <v>-90.93</v>
      </c>
      <c r="I9" s="1">
        <v>155.26389950081472</v>
      </c>
      <c r="J9" s="1">
        <f t="shared" si="0"/>
        <v>1</v>
      </c>
      <c r="K9" s="1">
        <f t="shared" si="1"/>
        <v>1.3198398577100177</v>
      </c>
      <c r="L9" s="1">
        <f>(averages__1[[#This Row],[dist_a_m]]/$D$1)/$G$1</f>
        <v>281.39433627172104</v>
      </c>
      <c r="M9" s="1">
        <f>averages__1[[#This Row],[TOF]]-averages__1[[#This Row],[dist_a_clk]]</f>
        <v>32821.395893745852</v>
      </c>
      <c r="N9" s="1">
        <f>averages__1[[#This Row],[delta_clk]]*$G$1*1000000000</f>
        <v>513.65616069690827</v>
      </c>
    </row>
    <row r="10" spans="1:14" x14ac:dyDescent="0.25">
      <c r="A10" t="s">
        <v>7</v>
      </c>
      <c r="B10">
        <v>0.124</v>
      </c>
      <c r="E10" t="s">
        <v>6</v>
      </c>
      <c r="F10" s="1">
        <v>33108.606551383011</v>
      </c>
      <c r="G10">
        <v>-80.86</v>
      </c>
      <c r="H10">
        <v>-91.88</v>
      </c>
      <c r="I10" s="1">
        <v>155.29118012367681</v>
      </c>
      <c r="J10" s="1">
        <f t="shared" si="0"/>
        <v>1</v>
      </c>
      <c r="K10" s="1">
        <f t="shared" si="1"/>
        <v>1.3200519876126091</v>
      </c>
      <c r="L10" s="1">
        <f>(averages__1[[#This Row],[dist_a_m]]/$D$1)/$G$1</f>
        <v>281.43956308677315</v>
      </c>
      <c r="M10" s="1">
        <f>averages__1[[#This Row],[TOF]]-averages__1[[#This Row],[dist_a_clk]]</f>
        <v>32827.166988296238</v>
      </c>
      <c r="N10" s="1">
        <f>averages__1[[#This Row],[delta_clk]]*$G$1*1000000000</f>
        <v>513.74647855783553</v>
      </c>
    </row>
    <row r="11" spans="1:14" x14ac:dyDescent="0.25">
      <c r="E11" t="s">
        <v>7</v>
      </c>
      <c r="F11" s="1">
        <v>33085.884289482558</v>
      </c>
      <c r="G11">
        <v>-80.680000000000007</v>
      </c>
      <c r="H11">
        <v>-92.13</v>
      </c>
      <c r="I11" s="1">
        <v>155.18460460651863</v>
      </c>
      <c r="J11" s="1">
        <f t="shared" si="0"/>
        <v>1</v>
      </c>
      <c r="K11" s="1">
        <f t="shared" si="1"/>
        <v>1.3183445111199121</v>
      </c>
      <c r="L11" s="1">
        <f>(averages__1[[#This Row],[dist_a_m]]/$D$1)/$G$1</f>
        <v>281.07552330455621</v>
      </c>
      <c r="M11" s="1">
        <f>averages__1[[#This Row],[TOF]]-averages__1[[#This Row],[dist_a_clk]]</f>
        <v>32804.808766178001</v>
      </c>
      <c r="N11" s="1">
        <f>averages__1[[#This Row],[delta_clk]]*$G$1*1000000000</f>
        <v>513.39657148592312</v>
      </c>
    </row>
    <row r="12" spans="1:14" x14ac:dyDescent="0.25">
      <c r="H12" s="1"/>
      <c r="I12" s="1"/>
      <c r="J12" s="1"/>
    </row>
    <row r="13" spans="1:14" x14ac:dyDescent="0.25">
      <c r="A13" t="s">
        <v>0</v>
      </c>
      <c r="B13" t="s">
        <v>8</v>
      </c>
      <c r="D13">
        <v>2</v>
      </c>
      <c r="E13">
        <v>4.4284999999999997</v>
      </c>
      <c r="F13">
        <v>2E-3</v>
      </c>
      <c r="H13" s="1"/>
      <c r="I13" s="1"/>
      <c r="J13" s="1"/>
    </row>
    <row r="14" spans="1:14" x14ac:dyDescent="0.25">
      <c r="A14" t="s">
        <v>3</v>
      </c>
      <c r="B14">
        <v>0.127</v>
      </c>
      <c r="E14" t="s">
        <v>0</v>
      </c>
      <c r="F14" s="1" t="s">
        <v>32</v>
      </c>
      <c r="G14" t="s">
        <v>1</v>
      </c>
      <c r="H14" t="s">
        <v>2</v>
      </c>
      <c r="I14" s="1" t="s">
        <v>33</v>
      </c>
      <c r="J14" t="s">
        <v>19</v>
      </c>
      <c r="K14" s="1" t="s">
        <v>13</v>
      </c>
      <c r="L14" t="s">
        <v>14</v>
      </c>
      <c r="M14" t="s">
        <v>11</v>
      </c>
      <c r="N14" t="s">
        <v>12</v>
      </c>
    </row>
    <row r="15" spans="1:14" x14ac:dyDescent="0.25">
      <c r="A15" t="s">
        <v>4</v>
      </c>
      <c r="B15">
        <v>0.128</v>
      </c>
      <c r="E15" t="s">
        <v>3</v>
      </c>
      <c r="F15" s="1">
        <v>33778.330635524748</v>
      </c>
      <c r="G15">
        <v>-84.03</v>
      </c>
      <c r="H15">
        <v>-94.44</v>
      </c>
      <c r="I15" s="1">
        <v>158.43242508130473</v>
      </c>
      <c r="J15" s="1">
        <f t="shared" ref="J15:J19" si="2">$D$13</f>
        <v>2</v>
      </c>
      <c r="K15" s="1">
        <f t="shared" ref="K15:K19" si="3">SQRT((POWER($E$13,2)+POWER($B14,2)))</f>
        <v>4.4303206712381433</v>
      </c>
      <c r="L15" s="1">
        <f>(averages__2[[#This Row],[dist_a_m]]/$D$1)/$G$1</f>
        <v>944.55940049951755</v>
      </c>
      <c r="M15" s="1">
        <f>averages__2[[#This Row],[TOF]]-averages__2[[#This Row],[dist_a_clk]]</f>
        <v>32833.771235025233</v>
      </c>
      <c r="N15" s="1">
        <f>averages__2[[#This Row],[delta_clk]]*$G$1*1000000000</f>
        <v>513.84983528373766</v>
      </c>
    </row>
    <row r="16" spans="1:14" x14ac:dyDescent="0.25">
      <c r="A16" t="s">
        <v>5</v>
      </c>
      <c r="B16">
        <v>0.13900000000000001</v>
      </c>
      <c r="E16" t="s">
        <v>4</v>
      </c>
      <c r="F16" s="1">
        <v>33814.783719047111</v>
      </c>
      <c r="G16">
        <v>-83.88</v>
      </c>
      <c r="H16">
        <v>-91.12</v>
      </c>
      <c r="I16" s="1">
        <v>158.60340305195868</v>
      </c>
      <c r="J16" s="1">
        <f t="shared" si="2"/>
        <v>2</v>
      </c>
      <c r="K16" s="1">
        <f t="shared" si="3"/>
        <v>4.4303494500998442</v>
      </c>
      <c r="L16" s="1">
        <f>(averages__2[[#This Row],[dist_a_m]]/$D$1)/$G$1</f>
        <v>944.56553625048741</v>
      </c>
      <c r="M16" s="1">
        <f>averages__2[[#This Row],[TOF]]-averages__2[[#This Row],[dist_a_clk]]</f>
        <v>32870.218182796627</v>
      </c>
      <c r="N16" s="1">
        <f>averages__2[[#This Row],[delta_clk]]*$G$1*1000000000</f>
        <v>514.42023147657414</v>
      </c>
    </row>
    <row r="17" spans="1:14" x14ac:dyDescent="0.25">
      <c r="A17" t="s">
        <v>6</v>
      </c>
      <c r="B17">
        <v>0.14099999999999999</v>
      </c>
      <c r="E17" t="s">
        <v>5</v>
      </c>
      <c r="F17" s="1">
        <v>33791.871416627648</v>
      </c>
      <c r="G17">
        <v>-83.03</v>
      </c>
      <c r="H17">
        <v>-91.94</v>
      </c>
      <c r="I17" s="1">
        <v>158.49593617694697</v>
      </c>
      <c r="J17" s="1">
        <f t="shared" si="2"/>
        <v>2</v>
      </c>
      <c r="K17" s="1">
        <f t="shared" si="3"/>
        <v>4.4306809013965331</v>
      </c>
      <c r="L17" s="1">
        <f>(averages__2[[#This Row],[dist_a_m]]/$D$1)/$G$1</f>
        <v>944.636202791654</v>
      </c>
      <c r="M17" s="1">
        <f>averages__2[[#This Row],[TOF]]-averages__2[[#This Row],[dist_a_clk]]</f>
        <v>32847.235213835993</v>
      </c>
      <c r="N17" s="1">
        <f>averages__2[[#This Row],[delta_clk]]*$G$1*1000000000</f>
        <v>514.06054709154819</v>
      </c>
    </row>
    <row r="18" spans="1:14" x14ac:dyDescent="0.25">
      <c r="A18" t="s">
        <v>7</v>
      </c>
      <c r="B18">
        <v>0.124</v>
      </c>
      <c r="E18" t="s">
        <v>6</v>
      </c>
      <c r="F18" s="1">
        <v>33834.832231709945</v>
      </c>
      <c r="G18">
        <v>-81.34</v>
      </c>
      <c r="H18">
        <v>-91.53</v>
      </c>
      <c r="I18" s="1">
        <v>158.69743773101726</v>
      </c>
      <c r="J18" s="1">
        <f t="shared" si="2"/>
        <v>2</v>
      </c>
      <c r="K18" s="1">
        <f t="shared" si="3"/>
        <v>4.4307440966501321</v>
      </c>
      <c r="L18" s="1">
        <f>(averages__2[[#This Row],[dist_a_m]]/$D$1)/$G$1</f>
        <v>944.64967623416157</v>
      </c>
      <c r="M18" s="1">
        <f>averages__2[[#This Row],[TOF]]-averages__2[[#This Row],[dist_a_clk]]</f>
        <v>32890.182555475782</v>
      </c>
      <c r="N18" s="1">
        <f>averages__2[[#This Row],[delta_clk]]*$G$1*1000000000</f>
        <v>514.73267470885764</v>
      </c>
    </row>
    <row r="19" spans="1:14" x14ac:dyDescent="0.25">
      <c r="E19" t="s">
        <v>7</v>
      </c>
      <c r="F19" s="1">
        <v>33807.63762956336</v>
      </c>
      <c r="G19">
        <v>-82.7</v>
      </c>
      <c r="H19">
        <v>-91.68</v>
      </c>
      <c r="I19" s="1">
        <v>158.56988534207019</v>
      </c>
      <c r="J19" s="1">
        <f t="shared" si="2"/>
        <v>2</v>
      </c>
      <c r="K19" s="1">
        <f t="shared" si="3"/>
        <v>4.4302356878613125</v>
      </c>
      <c r="L19" s="1">
        <f>(averages__2[[#This Row],[dist_a_m]]/$D$1)/$G$1</f>
        <v>944.5412817552035</v>
      </c>
      <c r="M19" s="1">
        <f>averages__2[[#This Row],[TOF]]-averages__2[[#This Row],[dist_a_clk]]</f>
        <v>32863.096347808154</v>
      </c>
      <c r="N19" s="1">
        <f>averages__2[[#This Row],[delta_clk]]*$G$1*1000000000</f>
        <v>514.30877447367459</v>
      </c>
    </row>
    <row r="20" spans="1:14" x14ac:dyDescent="0.25">
      <c r="H20" s="1"/>
      <c r="I20" s="1"/>
      <c r="J20" s="1"/>
    </row>
    <row r="21" spans="1:14" x14ac:dyDescent="0.25">
      <c r="A21" t="s">
        <v>0</v>
      </c>
      <c r="B21" t="s">
        <v>8</v>
      </c>
      <c r="D21">
        <v>3</v>
      </c>
      <c r="E21">
        <v>6.5940000000000003</v>
      </c>
      <c r="F21">
        <v>2E-3</v>
      </c>
      <c r="H21" s="1"/>
      <c r="I21" s="1"/>
      <c r="J21" s="1"/>
    </row>
    <row r="22" spans="1:14" x14ac:dyDescent="0.25">
      <c r="A22" t="s">
        <v>3</v>
      </c>
      <c r="B22">
        <v>0.127</v>
      </c>
      <c r="E22" t="s">
        <v>0</v>
      </c>
      <c r="F22" s="1" t="s">
        <v>32</v>
      </c>
      <c r="G22" t="s">
        <v>1</v>
      </c>
      <c r="H22" t="s">
        <v>2</v>
      </c>
      <c r="I22" s="1" t="s">
        <v>33</v>
      </c>
      <c r="J22" t="s">
        <v>19</v>
      </c>
      <c r="K22" s="1" t="s">
        <v>13</v>
      </c>
      <c r="L22" t="s">
        <v>14</v>
      </c>
      <c r="M22" t="s">
        <v>11</v>
      </c>
      <c r="N22" t="s">
        <v>12</v>
      </c>
    </row>
    <row r="23" spans="1:14" x14ac:dyDescent="0.25">
      <c r="A23" t="s">
        <v>4</v>
      </c>
      <c r="B23">
        <v>0.128</v>
      </c>
      <c r="E23" t="s">
        <v>3</v>
      </c>
      <c r="F23" s="1">
        <v>34250.355722209781</v>
      </c>
      <c r="G23">
        <v>-83.38</v>
      </c>
      <c r="H23">
        <v>-91.09</v>
      </c>
      <c r="I23" s="1">
        <v>160.64639118844187</v>
      </c>
      <c r="J23" s="1">
        <f t="shared" ref="J23:J27" si="4">$D$21</f>
        <v>3</v>
      </c>
      <c r="K23" s="1">
        <f t="shared" ref="K23:K27" si="5">SQRT((POWER($E$21,2)+POWER($B22,2)))</f>
        <v>6.5952228923668681</v>
      </c>
      <c r="L23" s="1">
        <f>(averages__3[[#This Row],[dist_a_m]]/$D$1)/$G$1</f>
        <v>1406.1239001992512</v>
      </c>
      <c r="M23" s="1">
        <f>averages__3[[#This Row],[TOF]]-averages__3[[#This Row],[dist_a_clk]]</f>
        <v>32844.23182201053</v>
      </c>
      <c r="N23" s="1">
        <f>averages__3[[#This Row],[delta_clk]]*$G$1*1000000000</f>
        <v>514.01354388915149</v>
      </c>
    </row>
    <row r="24" spans="1:14" x14ac:dyDescent="0.25">
      <c r="A24" t="s">
        <v>5</v>
      </c>
      <c r="B24">
        <v>0.13900000000000001</v>
      </c>
      <c r="E24" t="s">
        <v>4</v>
      </c>
      <c r="F24" s="1">
        <v>34292.347392363634</v>
      </c>
      <c r="G24">
        <v>-84.51</v>
      </c>
      <c r="H24">
        <v>-91.93</v>
      </c>
      <c r="I24" s="1">
        <v>160.84334710694102</v>
      </c>
      <c r="J24" s="1">
        <f t="shared" si="4"/>
        <v>3</v>
      </c>
      <c r="K24" s="1">
        <f t="shared" si="5"/>
        <v>6.5952422245130622</v>
      </c>
      <c r="L24" s="1">
        <f>(averages__3[[#This Row],[dist_a_m]]/$D$1)/$G$1</f>
        <v>1406.1280218784198</v>
      </c>
      <c r="M24" s="1">
        <f>averages__3[[#This Row],[TOF]]-averages__3[[#This Row],[dist_a_clk]]</f>
        <v>32886.219370485211</v>
      </c>
      <c r="N24" s="1">
        <f>averages__3[[#This Row],[delta_clk]]*$G$1*1000000000</f>
        <v>514.6706507049737</v>
      </c>
    </row>
    <row r="25" spans="1:14" x14ac:dyDescent="0.25">
      <c r="A25" t="s">
        <v>6</v>
      </c>
      <c r="B25">
        <v>0.14099999999999999</v>
      </c>
      <c r="E25" t="s">
        <v>5</v>
      </c>
      <c r="F25" s="1">
        <v>34252.213925974553</v>
      </c>
      <c r="G25">
        <v>-83.2</v>
      </c>
      <c r="H25">
        <v>-91.34</v>
      </c>
      <c r="I25" s="1">
        <v>160.65510682723186</v>
      </c>
      <c r="J25" s="1">
        <f t="shared" si="4"/>
        <v>3</v>
      </c>
      <c r="K25" s="1">
        <f t="shared" si="5"/>
        <v>6.5954648812650047</v>
      </c>
      <c r="L25" s="1">
        <f>(averages__3[[#This Row],[dist_a_m]]/$D$1)/$G$1</f>
        <v>1406.1754930534742</v>
      </c>
      <c r="M25" s="1">
        <f>averages__3[[#This Row],[TOF]]-averages__3[[#This Row],[dist_a_clk]]</f>
        <v>32846.038432921079</v>
      </c>
      <c r="N25" s="1">
        <f>averages__3[[#This Row],[delta_clk]]*$G$1*1000000000</f>
        <v>514.04181742228184</v>
      </c>
    </row>
    <row r="26" spans="1:14" x14ac:dyDescent="0.25">
      <c r="A26" t="s">
        <v>7</v>
      </c>
      <c r="B26">
        <v>0.124</v>
      </c>
      <c r="E26" t="s">
        <v>6</v>
      </c>
      <c r="F26" s="1">
        <v>34344.230845132261</v>
      </c>
      <c r="G26">
        <v>-84.16</v>
      </c>
      <c r="H26">
        <v>-92.14</v>
      </c>
      <c r="I26" s="1">
        <v>161.08669901596286</v>
      </c>
      <c r="J26" s="1">
        <f t="shared" si="4"/>
        <v>3</v>
      </c>
      <c r="K26" s="1">
        <f t="shared" si="5"/>
        <v>6.5955073345422033</v>
      </c>
      <c r="L26" s="1">
        <f>(averages__3[[#This Row],[dist_a_m]]/$D$1)/$G$1</f>
        <v>1406.1845442362294</v>
      </c>
      <c r="M26" s="1">
        <f>averages__3[[#This Row],[TOF]]-averages__3[[#This Row],[dist_a_clk]]</f>
        <v>32938.046300896029</v>
      </c>
      <c r="N26" s="1">
        <f>averages__3[[#This Row],[delta_clk]]*$G$1*1000000000</f>
        <v>515.48174424230251</v>
      </c>
    </row>
    <row r="27" spans="1:14" x14ac:dyDescent="0.25">
      <c r="E27" t="s">
        <v>7</v>
      </c>
      <c r="F27" s="1">
        <v>34258.160541610043</v>
      </c>
      <c r="G27">
        <v>-84.45</v>
      </c>
      <c r="H27">
        <v>-91.77</v>
      </c>
      <c r="I27" s="1">
        <v>160.68299857671832</v>
      </c>
      <c r="J27" s="1">
        <f t="shared" si="4"/>
        <v>3</v>
      </c>
      <c r="K27" s="1">
        <f t="shared" si="5"/>
        <v>6.5951658053456095</v>
      </c>
      <c r="L27" s="1">
        <f>(averages__3[[#This Row],[dist_a_m]]/$D$1)/$G$1</f>
        <v>1406.1117290526058</v>
      </c>
      <c r="M27" s="1">
        <f>averages__3[[#This Row],[TOF]]-averages__3[[#This Row],[dist_a_clk]]</f>
        <v>32852.048812557434</v>
      </c>
      <c r="N27" s="1">
        <f>averages__3[[#This Row],[delta_clk]]*$G$1*1000000000</f>
        <v>514.13588010439116</v>
      </c>
    </row>
    <row r="28" spans="1:14" x14ac:dyDescent="0.25">
      <c r="H28" s="1"/>
      <c r="I28" s="1"/>
      <c r="J28" s="1"/>
    </row>
    <row r="29" spans="1:14" x14ac:dyDescent="0.25">
      <c r="A29" t="s">
        <v>0</v>
      </c>
      <c r="B29" t="s">
        <v>8</v>
      </c>
      <c r="D29">
        <v>4</v>
      </c>
      <c r="E29">
        <v>15.526</v>
      </c>
      <c r="F29">
        <v>2E-3</v>
      </c>
      <c r="H29" s="1"/>
      <c r="I29" s="1"/>
      <c r="J29" s="1"/>
    </row>
    <row r="30" spans="1:14" x14ac:dyDescent="0.25">
      <c r="A30" t="s">
        <v>3</v>
      </c>
      <c r="B30">
        <v>0.127</v>
      </c>
      <c r="E30" t="s">
        <v>0</v>
      </c>
      <c r="F30" s="1" t="s">
        <v>32</v>
      </c>
      <c r="G30" t="s">
        <v>1</v>
      </c>
      <c r="H30" t="s">
        <v>2</v>
      </c>
      <c r="I30" s="1" t="s">
        <v>33</v>
      </c>
      <c r="J30" t="s">
        <v>19</v>
      </c>
      <c r="K30" s="1" t="s">
        <v>13</v>
      </c>
      <c r="L30" t="s">
        <v>14</v>
      </c>
      <c r="M30" t="s">
        <v>11</v>
      </c>
      <c r="N30" t="s">
        <v>12</v>
      </c>
    </row>
    <row r="31" spans="1:14" x14ac:dyDescent="0.25">
      <c r="A31" t="s">
        <v>4</v>
      </c>
      <c r="B31">
        <v>0.128</v>
      </c>
      <c r="E31" t="s">
        <v>3</v>
      </c>
      <c r="F31" s="1">
        <v>36185.527283674099</v>
      </c>
      <c r="G31">
        <v>-88.6</v>
      </c>
      <c r="H31">
        <v>-96.3</v>
      </c>
      <c r="I31" s="1">
        <v>169.72303641225056</v>
      </c>
      <c r="J31" s="1">
        <f t="shared" ref="J31:J35" si="6">$D$29</f>
        <v>4</v>
      </c>
      <c r="K31" s="1">
        <f t="shared" ref="K31:K35" si="7">SQRT((POWER($E$29,2)+POWER($B30,2)))</f>
        <v>15.526519410350796</v>
      </c>
      <c r="L31" s="1">
        <f>(averages__4[[#This Row],[dist_a_m]]/$D$1)/$G$1</f>
        <v>3310.3066243704743</v>
      </c>
      <c r="M31" s="1">
        <f>averages__4[[#This Row],[TOF]]-averages__4[[#This Row],[dist_a_clk]]</f>
        <v>32875.220659303624</v>
      </c>
      <c r="N31" s="1">
        <f>averages__4[[#This Row],[delta_clk]]*$G$1*1000000000</f>
        <v>514.49852043432838</v>
      </c>
    </row>
    <row r="32" spans="1:14" x14ac:dyDescent="0.25">
      <c r="A32" t="s">
        <v>5</v>
      </c>
      <c r="B32">
        <v>0.13900000000000001</v>
      </c>
      <c r="E32" t="s">
        <v>4</v>
      </c>
      <c r="F32" s="1">
        <v>36219.860700838937</v>
      </c>
      <c r="G32">
        <v>-88.86</v>
      </c>
      <c r="H32">
        <v>-93.2</v>
      </c>
      <c r="I32" s="1">
        <v>169.88407239124689</v>
      </c>
      <c r="J32" s="1">
        <f t="shared" si="6"/>
        <v>4</v>
      </c>
      <c r="K32" s="1">
        <f t="shared" si="7"/>
        <v>15.526527622105336</v>
      </c>
      <c r="L32" s="1">
        <f>(averages__4[[#This Row],[dist_a_m]]/$D$1)/$G$1</f>
        <v>3310.3083751444069</v>
      </c>
      <c r="M32" s="1">
        <f>averages__4[[#This Row],[TOF]]-averages__4[[#This Row],[dist_a_clk]]</f>
        <v>32909.552325694531</v>
      </c>
      <c r="N32" s="1">
        <f>averages__4[[#This Row],[delta_clk]]*$G$1*1000000000</f>
        <v>515.0358123888135</v>
      </c>
    </row>
    <row r="33" spans="1:14" x14ac:dyDescent="0.25">
      <c r="A33" t="s">
        <v>6</v>
      </c>
      <c r="B33">
        <v>0.14099999999999999</v>
      </c>
      <c r="E33" t="s">
        <v>5</v>
      </c>
      <c r="F33" s="1">
        <v>36191.233058245569</v>
      </c>
      <c r="G33">
        <v>-85.42</v>
      </c>
      <c r="H33">
        <v>-92.43</v>
      </c>
      <c r="I33" s="1">
        <v>169.74979853119834</v>
      </c>
      <c r="J33" s="1">
        <f t="shared" si="6"/>
        <v>4</v>
      </c>
      <c r="K33" s="1">
        <f t="shared" si="7"/>
        <v>15.526622201882804</v>
      </c>
      <c r="L33" s="1">
        <f>(averages__4[[#This Row],[dist_a_m]]/$D$1)/$G$1</f>
        <v>3310.3285398739004</v>
      </c>
      <c r="M33" s="1">
        <f>averages__4[[#This Row],[TOF]]-averages__4[[#This Row],[dist_a_clk]]</f>
        <v>32880.904518371666</v>
      </c>
      <c r="N33" s="1">
        <f>averages__4[[#This Row],[delta_clk]]*$G$1*1000000000</f>
        <v>514.58747305646193</v>
      </c>
    </row>
    <row r="34" spans="1:14" x14ac:dyDescent="0.25">
      <c r="A34" t="s">
        <v>7</v>
      </c>
      <c r="B34">
        <v>0.124</v>
      </c>
      <c r="E34" t="s">
        <v>6</v>
      </c>
      <c r="F34" s="1">
        <v>36224.953461654222</v>
      </c>
      <c r="G34">
        <v>-82.88</v>
      </c>
      <c r="H34">
        <v>-92.68</v>
      </c>
      <c r="I34" s="1">
        <v>169.90795925691327</v>
      </c>
      <c r="J34" s="1">
        <f t="shared" si="6"/>
        <v>4</v>
      </c>
      <c r="K34" s="1">
        <f t="shared" si="7"/>
        <v>15.526640235414742</v>
      </c>
      <c r="L34" s="1">
        <f>(averages__4[[#This Row],[dist_a_m]]/$D$1)/$G$1</f>
        <v>3310.3323846841026</v>
      </c>
      <c r="M34" s="1">
        <f>averages__4[[#This Row],[TOF]]-averages__4[[#This Row],[dist_a_clk]]</f>
        <v>32914.621076970121</v>
      </c>
      <c r="N34" s="1">
        <f>averages__4[[#This Row],[delta_clk]]*$G$1*1000000000</f>
        <v>515.11513854935151</v>
      </c>
    </row>
    <row r="35" spans="1:14" x14ac:dyDescent="0.25">
      <c r="E35" t="s">
        <v>7</v>
      </c>
      <c r="F35" s="1">
        <v>36202.381577861765</v>
      </c>
      <c r="G35">
        <v>-87.3</v>
      </c>
      <c r="H35">
        <v>-93.5</v>
      </c>
      <c r="I35" s="1">
        <v>169.80208906674667</v>
      </c>
      <c r="J35" s="1">
        <f t="shared" si="6"/>
        <v>4</v>
      </c>
      <c r="K35" s="1">
        <f t="shared" si="7"/>
        <v>15.52649516149733</v>
      </c>
      <c r="L35" s="1">
        <f>(averages__4[[#This Row],[dist_a_m]]/$D$1)/$G$1</f>
        <v>3310.3014544326315</v>
      </c>
      <c r="M35" s="1">
        <f>averages__4[[#This Row],[TOF]]-averages__4[[#This Row],[dist_a_clk]]</f>
        <v>32892.080123429136</v>
      </c>
      <c r="N35" s="1">
        <f>averages__4[[#This Row],[delta_clk]]*$G$1*1000000000</f>
        <v>514.76237172335198</v>
      </c>
    </row>
    <row r="36" spans="1:14" x14ac:dyDescent="0.25">
      <c r="H36" s="1"/>
      <c r="I36" s="1"/>
      <c r="J36" s="1"/>
    </row>
    <row r="37" spans="1:14" x14ac:dyDescent="0.25">
      <c r="A37" t="s">
        <v>0</v>
      </c>
      <c r="B37" t="s">
        <v>8</v>
      </c>
      <c r="D37">
        <v>5</v>
      </c>
      <c r="E37">
        <v>25.227</v>
      </c>
      <c r="F37">
        <v>2E-3</v>
      </c>
      <c r="H37" s="1"/>
      <c r="I37" s="1"/>
      <c r="J37" s="1"/>
    </row>
    <row r="38" spans="1:14" x14ac:dyDescent="0.25">
      <c r="A38" t="s">
        <v>3</v>
      </c>
      <c r="B38">
        <v>0.127</v>
      </c>
      <c r="E38" t="s">
        <v>0</v>
      </c>
      <c r="F38" s="1" t="s">
        <v>32</v>
      </c>
      <c r="G38" t="s">
        <v>1</v>
      </c>
      <c r="H38" t="s">
        <v>2</v>
      </c>
      <c r="I38" s="1" t="s">
        <v>33</v>
      </c>
      <c r="J38" t="s">
        <v>19</v>
      </c>
      <c r="K38" s="1" t="s">
        <v>13</v>
      </c>
      <c r="L38" t="s">
        <v>14</v>
      </c>
      <c r="M38" t="s">
        <v>11</v>
      </c>
      <c r="N38" t="s">
        <v>12</v>
      </c>
    </row>
    <row r="39" spans="1:14" x14ac:dyDescent="0.25">
      <c r="A39" t="s">
        <v>4</v>
      </c>
      <c r="B39">
        <v>0.128</v>
      </c>
      <c r="E39" t="s">
        <v>3</v>
      </c>
      <c r="F39" s="1">
        <v>38225.024788673349</v>
      </c>
      <c r="G39">
        <v>-84.51</v>
      </c>
      <c r="H39">
        <v>-91.34</v>
      </c>
      <c r="I39" s="1">
        <v>179.2890075418147</v>
      </c>
      <c r="J39" s="1">
        <f t="shared" ref="J39:J43" si="8">$D$37</f>
        <v>5</v>
      </c>
      <c r="K39" s="1">
        <f t="shared" ref="K39:K43" si="9">SQRT((POWER($E$37,2)+POWER($B38,2)))</f>
        <v>25.22731967530439</v>
      </c>
      <c r="L39" s="1">
        <f>(averages__5[[#This Row],[dist_a_m]]/$D$1)/$G$1</f>
        <v>5378.550158549986</v>
      </c>
      <c r="M39" s="1">
        <f>averages__5[[#This Row],[TOF]]-averages__5[[#This Row],[dist_a_clk]]</f>
        <v>32846.474630123361</v>
      </c>
      <c r="N39" s="1">
        <f>averages__5[[#This Row],[delta_clk]]*$G$1*1000000000</f>
        <v>514.04864392597335</v>
      </c>
    </row>
    <row r="40" spans="1:14" x14ac:dyDescent="0.25">
      <c r="A40" t="s">
        <v>5</v>
      </c>
      <c r="B40">
        <v>0.13900000000000001</v>
      </c>
      <c r="E40" t="s">
        <v>4</v>
      </c>
      <c r="F40" s="1">
        <v>38272.608464820521</v>
      </c>
      <c r="G40">
        <v>-87.14</v>
      </c>
      <c r="H40">
        <v>-91.56</v>
      </c>
      <c r="I40" s="1">
        <v>179.5121919640298</v>
      </c>
      <c r="J40" s="1">
        <f t="shared" si="8"/>
        <v>5</v>
      </c>
      <c r="K40" s="1">
        <f t="shared" si="9"/>
        <v>25.227324729348531</v>
      </c>
      <c r="L40" s="1">
        <f>(averages__5[[#This Row],[dist_a_m]]/$D$1)/$G$1</f>
        <v>5378.5512360893472</v>
      </c>
      <c r="M40" s="1">
        <f>averages__5[[#This Row],[TOF]]-averages__5[[#This Row],[dist_a_clk]]</f>
        <v>32894.057228731173</v>
      </c>
      <c r="N40" s="1">
        <f>averages__5[[#This Row],[delta_clk]]*$G$1*1000000000</f>
        <v>514.79331350053974</v>
      </c>
    </row>
    <row r="41" spans="1:14" x14ac:dyDescent="0.25">
      <c r="A41" t="s">
        <v>6</v>
      </c>
      <c r="B41">
        <v>0.14099999999999999</v>
      </c>
      <c r="E41" t="s">
        <v>5</v>
      </c>
      <c r="F41" s="1">
        <v>38259.413342956912</v>
      </c>
      <c r="G41">
        <v>-82.92</v>
      </c>
      <c r="H41">
        <v>-91.11</v>
      </c>
      <c r="I41" s="1">
        <v>179.45030213357452</v>
      </c>
      <c r="J41" s="1">
        <f t="shared" si="8"/>
        <v>5</v>
      </c>
      <c r="K41" s="1">
        <f t="shared" si="9"/>
        <v>25.227382939972191</v>
      </c>
      <c r="L41" s="1">
        <f>(averages__5[[#This Row],[dist_a_m]]/$D$1)/$G$1</f>
        <v>5378.5636467918375</v>
      </c>
      <c r="M41" s="1">
        <f>averages__5[[#This Row],[TOF]]-averages__5[[#This Row],[dist_a_clk]]</f>
        <v>32880.849696165074</v>
      </c>
      <c r="N41" s="1">
        <f>averages__5[[#This Row],[delta_clk]]*$G$1*1000000000</f>
        <v>514.58661508673242</v>
      </c>
    </row>
    <row r="42" spans="1:14" x14ac:dyDescent="0.25">
      <c r="A42" t="s">
        <v>7</v>
      </c>
      <c r="B42">
        <v>0.124</v>
      </c>
      <c r="E42" t="s">
        <v>6</v>
      </c>
      <c r="F42" s="1">
        <v>38239.862396705488</v>
      </c>
      <c r="G42">
        <v>-86.6</v>
      </c>
      <c r="H42">
        <v>-92</v>
      </c>
      <c r="I42" s="1">
        <v>179.35860121855092</v>
      </c>
      <c r="J42" s="1">
        <f t="shared" si="8"/>
        <v>5</v>
      </c>
      <c r="K42" s="1">
        <f t="shared" si="9"/>
        <v>25.227394039020361</v>
      </c>
      <c r="L42" s="1">
        <f>(averages__5[[#This Row],[dist_a_m]]/$D$1)/$G$1</f>
        <v>5378.5660131465702</v>
      </c>
      <c r="M42" s="1">
        <f>averages__5[[#This Row],[TOF]]-averages__5[[#This Row],[dist_a_clk]]</f>
        <v>32861.296383558918</v>
      </c>
      <c r="N42" s="1">
        <f>averages__5[[#This Row],[delta_clk]]*$G$1*1000000000</f>
        <v>514.28060496106013</v>
      </c>
    </row>
    <row r="43" spans="1:14" x14ac:dyDescent="0.25">
      <c r="E43" t="s">
        <v>7</v>
      </c>
      <c r="F43" s="1">
        <v>38225.889428342234</v>
      </c>
      <c r="G43">
        <v>-87.08</v>
      </c>
      <c r="H43">
        <v>-104.77</v>
      </c>
      <c r="I43" s="1">
        <v>179.29306301042388</v>
      </c>
      <c r="J43" s="1">
        <f t="shared" si="8"/>
        <v>5</v>
      </c>
      <c r="K43" s="1">
        <f t="shared" si="9"/>
        <v>25.227304751003423</v>
      </c>
      <c r="L43" s="1">
        <f>(averages__5[[#This Row],[dist_a_m]]/$D$1)/$G$1</f>
        <v>5378.5469766383776</v>
      </c>
      <c r="M43" s="1">
        <f>averages__5[[#This Row],[TOF]]-averages__5[[#This Row],[dist_a_clk]]</f>
        <v>32847.342451703858</v>
      </c>
      <c r="N43" s="1">
        <f>averages__5[[#This Row],[delta_clk]]*$G$1*1000000000</f>
        <v>514.06222536847667</v>
      </c>
    </row>
    <row r="44" spans="1:14" x14ac:dyDescent="0.25">
      <c r="H44" s="1"/>
      <c r="I44" s="1"/>
      <c r="J44" s="1"/>
    </row>
    <row r="45" spans="1:14" x14ac:dyDescent="0.25">
      <c r="A45" t="s">
        <v>0</v>
      </c>
      <c r="B45" t="s">
        <v>8</v>
      </c>
      <c r="D45">
        <v>6</v>
      </c>
      <c r="E45">
        <v>34.566000000000003</v>
      </c>
      <c r="F45">
        <v>0.05</v>
      </c>
      <c r="H45" s="1"/>
      <c r="I45" s="1"/>
      <c r="J45" s="1"/>
    </row>
    <row r="46" spans="1:14" x14ac:dyDescent="0.25">
      <c r="A46" t="s">
        <v>3</v>
      </c>
      <c r="B46">
        <v>0.127</v>
      </c>
      <c r="E46" t="s">
        <v>0</v>
      </c>
      <c r="F46" s="1" t="s">
        <v>32</v>
      </c>
      <c r="G46" t="s">
        <v>1</v>
      </c>
      <c r="H46" t="s">
        <v>2</v>
      </c>
      <c r="I46" s="1" t="s">
        <v>33</v>
      </c>
      <c r="J46" t="s">
        <v>19</v>
      </c>
      <c r="K46" s="1" t="s">
        <v>13</v>
      </c>
      <c r="L46" t="s">
        <v>14</v>
      </c>
      <c r="M46" t="s">
        <v>11</v>
      </c>
      <c r="N46" t="s">
        <v>12</v>
      </c>
    </row>
    <row r="47" spans="1:14" x14ac:dyDescent="0.25">
      <c r="A47" t="s">
        <v>4</v>
      </c>
      <c r="B47">
        <v>0.128</v>
      </c>
      <c r="E47" t="s">
        <v>3</v>
      </c>
      <c r="F47" s="1">
        <v>40231.991273679785</v>
      </c>
      <c r="G47">
        <v>-83.98</v>
      </c>
      <c r="H47">
        <v>-91.21</v>
      </c>
      <c r="I47" s="1">
        <v>188.70239657833693</v>
      </c>
      <c r="J47" s="1">
        <f t="shared" ref="J47:J51" si="10">$D$45</f>
        <v>6</v>
      </c>
      <c r="K47" s="1">
        <f t="shared" ref="K47:K51" si="11">SQRT((POWER($E$45,2)+POWER($B46,2)))</f>
        <v>34.566233306508828</v>
      </c>
      <c r="L47" s="1">
        <f>(averages__6[[#This Row],[dist_a_m]]/$D$1)/$G$1</f>
        <v>7369.638234425538</v>
      </c>
      <c r="M47" s="1">
        <f>averages__6[[#This Row],[TOF]]-averages__6[[#This Row],[dist_a_clk]]</f>
        <v>32862.353039254245</v>
      </c>
      <c r="N47" s="1">
        <f>averages__6[[#This Row],[delta_clk]]*$G$1*1000000000</f>
        <v>514.29714166502595</v>
      </c>
    </row>
    <row r="48" spans="1:14" x14ac:dyDescent="0.25">
      <c r="A48" t="s">
        <v>5</v>
      </c>
      <c r="B48">
        <v>0.13900000000000001</v>
      </c>
      <c r="E48" t="s">
        <v>4</v>
      </c>
      <c r="F48" s="1">
        <v>40298.581009807654</v>
      </c>
      <c r="G48">
        <v>-88.84</v>
      </c>
      <c r="H48">
        <v>-94.64</v>
      </c>
      <c r="I48" s="1">
        <v>189.01472620451352</v>
      </c>
      <c r="J48" s="1">
        <f t="shared" si="10"/>
        <v>6</v>
      </c>
      <c r="K48" s="1">
        <f t="shared" si="11"/>
        <v>34.566236995079464</v>
      </c>
      <c r="L48" s="1">
        <f>(averages__6[[#This Row],[dist_a_m]]/$D$1)/$G$1</f>
        <v>7369.639020841314</v>
      </c>
      <c r="M48" s="1">
        <f>averages__6[[#This Row],[TOF]]-averages__6[[#This Row],[dist_a_clk]]</f>
        <v>32928.94198896634</v>
      </c>
      <c r="N48" s="1">
        <f>averages__6[[#This Row],[delta_clk]]*$G$1*1000000000</f>
        <v>515.33926139584673</v>
      </c>
    </row>
    <row r="49" spans="1:14" x14ac:dyDescent="0.25">
      <c r="A49" t="s">
        <v>6</v>
      </c>
      <c r="B49">
        <v>0.14099999999999999</v>
      </c>
      <c r="E49" t="s">
        <v>5</v>
      </c>
      <c r="F49" s="1">
        <v>40278.914621973039</v>
      </c>
      <c r="G49">
        <v>-86.49</v>
      </c>
      <c r="H49">
        <v>-92.9</v>
      </c>
      <c r="I49" s="1">
        <v>188.92248382726737</v>
      </c>
      <c r="J49" s="1">
        <f t="shared" si="10"/>
        <v>6</v>
      </c>
      <c r="K49" s="1">
        <f t="shared" si="11"/>
        <v>34.566279478705837</v>
      </c>
      <c r="L49" s="1">
        <f>(averages__6[[#This Row],[dist_a_m]]/$D$1)/$G$1</f>
        <v>7369.6480784946161</v>
      </c>
      <c r="M49" s="1">
        <f>averages__6[[#This Row],[TOF]]-averages__6[[#This Row],[dist_a_clk]]</f>
        <v>32909.266543478421</v>
      </c>
      <c r="N49" s="1">
        <f>averages__6[[#This Row],[delta_clk]]*$G$1*1000000000</f>
        <v>515.03133988568186</v>
      </c>
    </row>
    <row r="50" spans="1:14" x14ac:dyDescent="0.25">
      <c r="A50" t="s">
        <v>7</v>
      </c>
      <c r="B50">
        <v>0.124</v>
      </c>
      <c r="E50" t="s">
        <v>6</v>
      </c>
      <c r="F50" s="1">
        <v>40246.508408006302</v>
      </c>
      <c r="G50">
        <v>-85.75</v>
      </c>
      <c r="H50">
        <v>-92.19</v>
      </c>
      <c r="I50" s="1">
        <v>188.77048711902702</v>
      </c>
      <c r="J50" s="1">
        <f t="shared" si="10"/>
        <v>6</v>
      </c>
      <c r="K50" s="1">
        <f t="shared" si="11"/>
        <v>34.566287579084914</v>
      </c>
      <c r="L50" s="1">
        <f>(averages__6[[#This Row],[dist_a_m]]/$D$1)/$G$1</f>
        <v>7369.6498055229222</v>
      </c>
      <c r="M50" s="1">
        <f>averages__6[[#This Row],[TOF]]-averages__6[[#This Row],[dist_a_clk]]</f>
        <v>32876.858602483378</v>
      </c>
      <c r="N50" s="1">
        <f>averages__6[[#This Row],[delta_clk]]*$G$1*1000000000</f>
        <v>514.52415431071427</v>
      </c>
    </row>
    <row r="51" spans="1:14" x14ac:dyDescent="0.25">
      <c r="E51" t="s">
        <v>7</v>
      </c>
      <c r="F51" s="1">
        <v>40280.466215079599</v>
      </c>
      <c r="G51">
        <v>-88.69</v>
      </c>
      <c r="H51">
        <v>-94.77</v>
      </c>
      <c r="I51" s="1">
        <v>188.92976135265084</v>
      </c>
      <c r="J51" s="1">
        <f t="shared" si="10"/>
        <v>6</v>
      </c>
      <c r="K51" s="1">
        <f t="shared" si="11"/>
        <v>34.566222414374415</v>
      </c>
      <c r="L51" s="1">
        <f>(averages__6[[#This Row],[dist_a_m]]/$D$1)/$G$1</f>
        <v>7369.6359121855212</v>
      </c>
      <c r="M51" s="1">
        <f>averages__6[[#This Row],[TOF]]-averages__6[[#This Row],[dist_a_clk]]</f>
        <v>32910.830302894079</v>
      </c>
      <c r="N51" s="1">
        <f>averages__6[[#This Row],[delta_clk]]*$G$1*1000000000</f>
        <v>515.05581278318743</v>
      </c>
    </row>
    <row r="52" spans="1:14" x14ac:dyDescent="0.25">
      <c r="H52" s="1"/>
      <c r="I52" s="1"/>
      <c r="J52" s="1"/>
    </row>
    <row r="53" spans="1:14" x14ac:dyDescent="0.25">
      <c r="A53" t="s">
        <v>0</v>
      </c>
      <c r="B53" t="s">
        <v>8</v>
      </c>
      <c r="D53">
        <v>7</v>
      </c>
      <c r="E53">
        <v>40.787999999999997</v>
      </c>
      <c r="F53">
        <v>0.05</v>
      </c>
      <c r="H53" s="1"/>
      <c r="I53" s="1"/>
      <c r="J53" s="1"/>
    </row>
    <row r="54" spans="1:14" x14ac:dyDescent="0.25">
      <c r="A54" t="s">
        <v>3</v>
      </c>
      <c r="B54">
        <v>0.127</v>
      </c>
      <c r="E54" t="s">
        <v>0</v>
      </c>
      <c r="F54" s="1" t="s">
        <v>32</v>
      </c>
      <c r="G54" t="s">
        <v>1</v>
      </c>
      <c r="H54" t="s">
        <v>2</v>
      </c>
      <c r="I54" s="1" t="s">
        <v>33</v>
      </c>
      <c r="J54" t="s">
        <v>19</v>
      </c>
      <c r="K54" s="1" t="s">
        <v>13</v>
      </c>
      <c r="L54" t="s">
        <v>14</v>
      </c>
      <c r="M54" t="s">
        <v>11</v>
      </c>
      <c r="N54" t="s">
        <v>12</v>
      </c>
    </row>
    <row r="55" spans="1:14" x14ac:dyDescent="0.25">
      <c r="A55" t="s">
        <v>4</v>
      </c>
      <c r="B55">
        <v>0.128</v>
      </c>
      <c r="E55" t="s">
        <v>3</v>
      </c>
      <c r="F55" s="1">
        <v>41569.190374719037</v>
      </c>
      <c r="G55">
        <v>-88.53</v>
      </c>
      <c r="H55">
        <v>-92.45</v>
      </c>
      <c r="I55" s="1">
        <v>194.97433756559758</v>
      </c>
      <c r="J55" s="1">
        <f t="shared" ref="J55:J59" si="12">$D$53</f>
        <v>7</v>
      </c>
      <c r="K55" s="1">
        <f t="shared" ref="K55:K59" si="13">SQRT((POWER($E$53,2)+POWER($B54,2)))</f>
        <v>40.788197716986708</v>
      </c>
      <c r="L55" s="1">
        <f>(averages__7[[#This Row],[dist_a_m]]/$D$1)/$G$1</f>
        <v>8696.182159709364</v>
      </c>
      <c r="M55" s="1">
        <f>averages__7[[#This Row],[TOF]]-averages__7[[#This Row],[dist_a_clk]]</f>
        <v>32873.008215009671</v>
      </c>
      <c r="N55" s="1">
        <f>averages__7[[#This Row],[delta_clk]]*$G$1*1000000000</f>
        <v>514.46389559248848</v>
      </c>
    </row>
    <row r="56" spans="1:14" x14ac:dyDescent="0.25">
      <c r="A56" t="s">
        <v>5</v>
      </c>
      <c r="B56">
        <v>0.13900000000000001</v>
      </c>
      <c r="E56" t="s">
        <v>4</v>
      </c>
      <c r="F56" s="1">
        <v>41635.007369031016</v>
      </c>
      <c r="G56">
        <v>-88.89</v>
      </c>
      <c r="H56">
        <v>-93.7</v>
      </c>
      <c r="I56" s="1">
        <v>195.28304275689089</v>
      </c>
      <c r="J56" s="1">
        <f t="shared" si="12"/>
        <v>7</v>
      </c>
      <c r="K56" s="1">
        <f t="shared" si="13"/>
        <v>40.788200842890824</v>
      </c>
      <c r="L56" s="1">
        <f>(averages__7[[#This Row],[dist_a_m]]/$D$1)/$G$1</f>
        <v>8696.1828261627288</v>
      </c>
      <c r="M56" s="1">
        <f>averages__7[[#This Row],[TOF]]-averages__7[[#This Row],[dist_a_clk]]</f>
        <v>32938.824542868286</v>
      </c>
      <c r="N56" s="1">
        <f>averages__7[[#This Row],[delta_clk]]*$G$1*1000000000</f>
        <v>515.49392376034791</v>
      </c>
    </row>
    <row r="57" spans="1:14" x14ac:dyDescent="0.25">
      <c r="A57" t="s">
        <v>6</v>
      </c>
      <c r="B57">
        <v>0.14099999999999999</v>
      </c>
      <c r="E57" t="s">
        <v>5</v>
      </c>
      <c r="F57" s="1">
        <v>41615.537235415926</v>
      </c>
      <c r="G57">
        <v>-87.3</v>
      </c>
      <c r="H57">
        <v>-93.17</v>
      </c>
      <c r="I57" s="1">
        <v>195.19172088197115</v>
      </c>
      <c r="J57" s="1">
        <f t="shared" si="12"/>
        <v>7</v>
      </c>
      <c r="K57" s="1">
        <f t="shared" si="13"/>
        <v>40.788236845933902</v>
      </c>
      <c r="L57" s="1">
        <f>(averages__7[[#This Row],[dist_a_m]]/$D$1)/$G$1</f>
        <v>8696.1905021336825</v>
      </c>
      <c r="M57" s="1">
        <f>averages__7[[#This Row],[TOF]]-averages__7[[#This Row],[dist_a_clk]]</f>
        <v>32919.346733282247</v>
      </c>
      <c r="N57" s="1">
        <f>averages__7[[#This Row],[delta_clk]]*$G$1*1000000000</f>
        <v>515.18909525996537</v>
      </c>
    </row>
    <row r="58" spans="1:14" x14ac:dyDescent="0.25">
      <c r="A58" t="s">
        <v>7</v>
      </c>
      <c r="B58">
        <v>0.124</v>
      </c>
      <c r="E58" t="s">
        <v>6</v>
      </c>
      <c r="F58" s="1">
        <v>41606.559820107286</v>
      </c>
      <c r="G58">
        <v>-89.28</v>
      </c>
      <c r="H58">
        <v>-93.73</v>
      </c>
      <c r="I58" s="1">
        <v>195.14961360042261</v>
      </c>
      <c r="J58" s="1">
        <f t="shared" si="12"/>
        <v>7</v>
      </c>
      <c r="K58" s="1">
        <f t="shared" si="13"/>
        <v>40.788243710657603</v>
      </c>
      <c r="L58" s="1">
        <f>(averages__7[[#This Row],[dist_a_m]]/$D$1)/$G$1</f>
        <v>8696.1919657160688</v>
      </c>
      <c r="M58" s="1">
        <f>averages__7[[#This Row],[TOF]]-averages__7[[#This Row],[dist_a_clk]]</f>
        <v>32910.367854391217</v>
      </c>
      <c r="N58" s="1">
        <f>averages__7[[#This Row],[delta_clk]]*$G$1*1000000000</f>
        <v>515.04857544559013</v>
      </c>
    </row>
    <row r="59" spans="1:14" x14ac:dyDescent="0.25">
      <c r="E59" t="s">
        <v>7</v>
      </c>
      <c r="F59" s="1">
        <v>41594.836263574114</v>
      </c>
      <c r="G59">
        <v>-90.5</v>
      </c>
      <c r="H59">
        <v>-99.78</v>
      </c>
      <c r="I59" s="1">
        <v>195.09462593652148</v>
      </c>
      <c r="J59" s="1">
        <f t="shared" si="12"/>
        <v>7</v>
      </c>
      <c r="K59" s="1">
        <f t="shared" si="13"/>
        <v>40.788188486374331</v>
      </c>
      <c r="L59" s="1">
        <f>(averages__7[[#This Row],[dist_a_m]]/$D$1)/$G$1</f>
        <v>8696.1801917114844</v>
      </c>
      <c r="M59" s="1">
        <f>averages__7[[#This Row],[TOF]]-averages__7[[#This Row],[dist_a_clk]]</f>
        <v>32898.656071862628</v>
      </c>
      <c r="N59" s="1">
        <f>averages__7[[#This Row],[delta_clk]]*$G$1*1000000000</f>
        <v>514.86528557979557</v>
      </c>
    </row>
    <row r="60" spans="1:14" x14ac:dyDescent="0.25">
      <c r="H60" s="1"/>
      <c r="I60" s="1"/>
      <c r="J60" s="1"/>
    </row>
    <row r="61" spans="1:14" x14ac:dyDescent="0.25">
      <c r="A61" t="s">
        <v>0</v>
      </c>
      <c r="B61" t="s">
        <v>8</v>
      </c>
      <c r="D61">
        <v>8</v>
      </c>
      <c r="E61">
        <v>49.89</v>
      </c>
      <c r="F61">
        <v>0.1</v>
      </c>
      <c r="H61" s="1"/>
      <c r="I61" s="1"/>
      <c r="J61" s="1"/>
    </row>
    <row r="62" spans="1:14" x14ac:dyDescent="0.25">
      <c r="A62" t="s">
        <v>3</v>
      </c>
      <c r="B62">
        <v>0.127</v>
      </c>
      <c r="E62" t="s">
        <v>0</v>
      </c>
      <c r="F62" s="1" t="s">
        <v>32</v>
      </c>
      <c r="G62" t="s">
        <v>1</v>
      </c>
      <c r="H62" t="s">
        <v>2</v>
      </c>
      <c r="I62" s="1" t="s">
        <v>33</v>
      </c>
      <c r="J62" t="s">
        <v>19</v>
      </c>
      <c r="K62" s="1" t="s">
        <v>13</v>
      </c>
      <c r="L62" t="s">
        <v>14</v>
      </c>
      <c r="M62" t="s">
        <v>11</v>
      </c>
      <c r="N62" t="s">
        <v>12</v>
      </c>
    </row>
    <row r="63" spans="1:14" x14ac:dyDescent="0.25">
      <c r="A63" t="s">
        <v>4</v>
      </c>
      <c r="B63">
        <v>0.128</v>
      </c>
      <c r="E63" t="s">
        <v>3</v>
      </c>
      <c r="F63" s="1">
        <v>43567.796914812468</v>
      </c>
      <c r="G63">
        <v>-88.61</v>
      </c>
      <c r="H63">
        <v>-95.01</v>
      </c>
      <c r="I63" s="1">
        <v>204.34851547708215</v>
      </c>
      <c r="J63" s="1">
        <f t="shared" ref="J63:J67" si="14">$D$61</f>
        <v>8</v>
      </c>
      <c r="K63" s="1">
        <f t="shared" ref="K63:K67" si="15">SQRT((POWER($E$61,2)+POWER($B62,2)))</f>
        <v>49.890161645358496</v>
      </c>
      <c r="L63" s="1">
        <f>(averages__8[[#This Row],[dist_a_m]]/$D$1)/$G$1</f>
        <v>10636.751754900402</v>
      </c>
      <c r="M63" s="1">
        <f>averages__8[[#This Row],[TOF]]-averages__8[[#This Row],[dist_a_clk]]</f>
        <v>32931.045159912064</v>
      </c>
      <c r="N63" s="1">
        <f>averages__8[[#This Row],[delta_clk]]*$G$1*1000000000</f>
        <v>515.37217610540904</v>
      </c>
    </row>
    <row r="64" spans="1:14" x14ac:dyDescent="0.25">
      <c r="A64" t="s">
        <v>5</v>
      </c>
      <c r="B64">
        <v>0.13900000000000001</v>
      </c>
      <c r="E64" t="s">
        <v>4</v>
      </c>
      <c r="F64" s="1">
        <v>43621.040909836775</v>
      </c>
      <c r="G64">
        <v>-92.22</v>
      </c>
      <c r="H64">
        <v>-97.73</v>
      </c>
      <c r="I64" s="1">
        <v>204.59824881481688</v>
      </c>
      <c r="J64" s="1">
        <f t="shared" si="14"/>
        <v>8</v>
      </c>
      <c r="K64" s="1">
        <f t="shared" si="15"/>
        <v>49.890164200972521</v>
      </c>
      <c r="L64" s="1">
        <f>(averages__8[[#This Row],[dist_a_m]]/$D$1)/$G$1</f>
        <v>10636.752299765983</v>
      </c>
      <c r="M64" s="1">
        <f>averages__8[[#This Row],[TOF]]-averages__8[[#This Row],[dist_a_clk]]</f>
        <v>32984.288610070791</v>
      </c>
      <c r="N64" s="1">
        <f>averages__8[[#This Row],[delta_clk]]*$G$1*1000000000</f>
        <v>516.20543823354421</v>
      </c>
    </row>
    <row r="65" spans="1:14" x14ac:dyDescent="0.25">
      <c r="A65" t="s">
        <v>6</v>
      </c>
      <c r="B65">
        <v>0.14099999999999999</v>
      </c>
      <c r="E65" t="s">
        <v>5</v>
      </c>
      <c r="F65" s="1">
        <v>43590.39746788067</v>
      </c>
      <c r="G65">
        <v>-91.8</v>
      </c>
      <c r="H65">
        <v>-102.59</v>
      </c>
      <c r="I65" s="1">
        <v>204.45452013638308</v>
      </c>
      <c r="J65" s="1">
        <f t="shared" si="14"/>
        <v>8</v>
      </c>
      <c r="K65" s="1">
        <f t="shared" si="15"/>
        <v>49.890193635623426</v>
      </c>
      <c r="L65" s="1">
        <f>(averages__8[[#This Row],[dist_a_m]]/$D$1)/$G$1</f>
        <v>10636.758575333437</v>
      </c>
      <c r="M65" s="1">
        <f>averages__8[[#This Row],[TOF]]-averages__8[[#This Row],[dist_a_clk]]</f>
        <v>32953.638892547235</v>
      </c>
      <c r="N65" s="1">
        <f>averages__8[[#This Row],[delta_clk]]*$G$1*1000000000</f>
        <v>515.72576892634709</v>
      </c>
    </row>
    <row r="66" spans="1:14" x14ac:dyDescent="0.25">
      <c r="A66" t="s">
        <v>7</v>
      </c>
      <c r="B66">
        <v>0.124</v>
      </c>
      <c r="E66" t="s">
        <v>6</v>
      </c>
      <c r="F66" s="1">
        <v>43576.040407549342</v>
      </c>
      <c r="G66">
        <v>-90.46</v>
      </c>
      <c r="H66">
        <v>-99.08</v>
      </c>
      <c r="I66" s="1">
        <v>204.38718039985571</v>
      </c>
      <c r="J66" s="1">
        <f t="shared" si="14"/>
        <v>8</v>
      </c>
      <c r="K66" s="1">
        <f t="shared" si="15"/>
        <v>49.890199247948487</v>
      </c>
      <c r="L66" s="1">
        <f>(averages__8[[#This Row],[dist_a_m]]/$D$1)/$G$1</f>
        <v>10636.759771900184</v>
      </c>
      <c r="M66" s="1">
        <f>averages__8[[#This Row],[TOF]]-averages__8[[#This Row],[dist_a_clk]]</f>
        <v>32939.280635649156</v>
      </c>
      <c r="N66" s="1">
        <f>averages__8[[#This Row],[delta_clk]]*$G$1*1000000000</f>
        <v>515.5010616306414</v>
      </c>
    </row>
    <row r="67" spans="1:14" x14ac:dyDescent="0.25">
      <c r="E67" t="s">
        <v>7</v>
      </c>
      <c r="F67" s="1">
        <v>43617.057610709933</v>
      </c>
      <c r="G67">
        <v>-95.24</v>
      </c>
      <c r="H67">
        <v>-99.47</v>
      </c>
      <c r="I67" s="1">
        <v>204.57956572040055</v>
      </c>
      <c r="J67" s="1">
        <f t="shared" si="14"/>
        <v>8</v>
      </c>
      <c r="K67" s="1">
        <f t="shared" si="15"/>
        <v>49.890154098779846</v>
      </c>
      <c r="L67" s="1">
        <f>(averages__8[[#This Row],[dist_a_m]]/$D$1)/$G$1</f>
        <v>10636.750145944226</v>
      </c>
      <c r="M67" s="1">
        <f>averages__8[[#This Row],[TOF]]-averages__8[[#This Row],[dist_a_clk]]</f>
        <v>32980.307464765705</v>
      </c>
      <c r="N67" s="1">
        <f>averages__8[[#This Row],[delta_clk]]*$G$1*1000000000</f>
        <v>516.14313315001857</v>
      </c>
    </row>
    <row r="68" spans="1:14" x14ac:dyDescent="0.25">
      <c r="H68" s="1"/>
      <c r="I68" s="1"/>
      <c r="J68" s="1"/>
    </row>
    <row r="69" spans="1:14" x14ac:dyDescent="0.25">
      <c r="A69" t="s">
        <v>0</v>
      </c>
      <c r="B69" t="s">
        <v>8</v>
      </c>
      <c r="D69">
        <v>9</v>
      </c>
      <c r="E69">
        <v>57.868000000000002</v>
      </c>
      <c r="F69">
        <v>0.1</v>
      </c>
      <c r="H69" s="1"/>
      <c r="I69" s="1"/>
      <c r="J69" s="1"/>
    </row>
    <row r="70" spans="1:14" x14ac:dyDescent="0.25">
      <c r="A70" t="s">
        <v>3</v>
      </c>
      <c r="B70">
        <v>0.127</v>
      </c>
      <c r="E70" t="s">
        <v>0</v>
      </c>
      <c r="F70" s="1" t="s">
        <v>10</v>
      </c>
      <c r="G70" t="s">
        <v>1</v>
      </c>
      <c r="H70" t="s">
        <v>2</v>
      </c>
      <c r="I70" s="1" t="s">
        <v>9</v>
      </c>
      <c r="J70" t="s">
        <v>19</v>
      </c>
      <c r="K70" s="1" t="s">
        <v>13</v>
      </c>
      <c r="L70" t="s">
        <v>14</v>
      </c>
      <c r="M70" t="s">
        <v>11</v>
      </c>
      <c r="N70" t="s">
        <v>12</v>
      </c>
    </row>
    <row r="71" spans="1:14" x14ac:dyDescent="0.25">
      <c r="A71" t="s">
        <v>4</v>
      </c>
      <c r="B71">
        <v>0.128</v>
      </c>
      <c r="E71" t="s">
        <v>3</v>
      </c>
      <c r="F71" s="1">
        <v>45281.014258913201</v>
      </c>
      <c r="G71">
        <v>-91.65</v>
      </c>
      <c r="H71">
        <v>-100.21</v>
      </c>
      <c r="I71" s="1">
        <v>212.38411621312824</v>
      </c>
      <c r="J71" s="1">
        <f t="shared" ref="J71:J75" si="16">$D$69</f>
        <v>9</v>
      </c>
      <c r="K71" s="1">
        <f>SQRT((POWER($E$69,2)+POWER($B70,2)))</f>
        <v>57.868139360100393</v>
      </c>
      <c r="L71" s="1">
        <f>(averages__9[[#This Row],[dist_a_m]]/$D$1)/$G$1</f>
        <v>12337.683675327082</v>
      </c>
      <c r="M71" s="1">
        <f>averages__9[[#This Row],[TOF_clk]]-averages__9[[#This Row],[dist_a_clk]]</f>
        <v>32943.330583586117</v>
      </c>
      <c r="N71" s="1">
        <f>averages__9[[#This Row],[delta_clk]]*$G$1*1000000000</f>
        <v>515.56444347811248</v>
      </c>
    </row>
    <row r="72" spans="1:14" x14ac:dyDescent="0.25">
      <c r="A72" t="s">
        <v>5</v>
      </c>
      <c r="B72">
        <v>0.13900000000000001</v>
      </c>
      <c r="E72" t="s">
        <v>4</v>
      </c>
      <c r="F72" s="1">
        <v>45400.424331409668</v>
      </c>
      <c r="G72">
        <v>-94.53</v>
      </c>
      <c r="H72">
        <v>-97.8</v>
      </c>
      <c r="I72" s="1">
        <v>212.94419206675414</v>
      </c>
      <c r="J72" s="1">
        <f t="shared" si="16"/>
        <v>9</v>
      </c>
      <c r="K72" s="1">
        <f>SQRT((POWER($E$69,2)+POWER($B71,2)))</f>
        <v>57.868141563385294</v>
      </c>
      <c r="L72" s="1">
        <f>(averages__9[[#This Row],[dist_a_m]]/$D$1)/$G$1</f>
        <v>12337.6841450749</v>
      </c>
      <c r="M72" s="1">
        <f>averages__9[[#This Row],[TOF_clk]]-averages__9[[#This Row],[dist_a_clk]]</f>
        <v>33062.74018633477</v>
      </c>
      <c r="N72" s="1">
        <f>averages__9[[#This Row],[delta_clk]]*$G$1*1000000000</f>
        <v>517.43320854516742</v>
      </c>
    </row>
    <row r="73" spans="1:14" x14ac:dyDescent="0.25">
      <c r="A73" t="s">
        <v>6</v>
      </c>
      <c r="B73">
        <v>0.14099999999999999</v>
      </c>
      <c r="E73" t="s">
        <v>5</v>
      </c>
      <c r="F73" s="1">
        <v>45309.222815984554</v>
      </c>
      <c r="G73">
        <v>-96.2</v>
      </c>
      <c r="H73">
        <v>-104.29</v>
      </c>
      <c r="I73" s="1">
        <v>212.51642441252037</v>
      </c>
      <c r="J73" s="1">
        <f t="shared" si="16"/>
        <v>9</v>
      </c>
      <c r="K73" s="1">
        <f>SQRT((POWER($E$69,2)+POWER($B72,2)))</f>
        <v>57.868166940037078</v>
      </c>
      <c r="L73" s="1">
        <f>(averages__9[[#This Row],[dist_a_m]]/$D$1)/$G$1</f>
        <v>12337.68955546317</v>
      </c>
      <c r="M73" s="1">
        <f>averages__9[[#This Row],[TOF_clk]]-averages__9[[#This Row],[dist_a_clk]]</f>
        <v>32971.533260521384</v>
      </c>
      <c r="N73" s="1">
        <f>averages__9[[#This Row],[delta_clk]]*$G$1*1000000000</f>
        <v>516.00581650206436</v>
      </c>
    </row>
    <row r="74" spans="1:14" x14ac:dyDescent="0.25">
      <c r="A74" t="s">
        <v>7</v>
      </c>
      <c r="B74">
        <v>0.124</v>
      </c>
      <c r="E74" t="s">
        <v>6</v>
      </c>
      <c r="F74" s="1">
        <v>45296.447532294034</v>
      </c>
      <c r="G74">
        <v>-92.29</v>
      </c>
      <c r="H74">
        <v>-102.08</v>
      </c>
      <c r="I74" s="1">
        <v>212.45650377292364</v>
      </c>
      <c r="J74" s="1">
        <f t="shared" si="16"/>
        <v>9</v>
      </c>
      <c r="K74" s="1">
        <f>SQRT((POWER($E$69,2)+POWER($B73,2)))</f>
        <v>57.868171778621111</v>
      </c>
      <c r="L74" s="1">
        <f>(averages__9[[#This Row],[dist_a_m]]/$D$1)/$G$1</f>
        <v>12337.690587065705</v>
      </c>
      <c r="M74" s="1">
        <f>averages__9[[#This Row],[TOF_clk]]-averages__9[[#This Row],[dist_a_clk]]</f>
        <v>32958.756945228328</v>
      </c>
      <c r="N74" s="1">
        <f>averages__9[[#This Row],[delta_clk]]*$G$1*1000000000</f>
        <v>515.80586665585633</v>
      </c>
    </row>
    <row r="75" spans="1:14" x14ac:dyDescent="0.25">
      <c r="E75" t="s">
        <v>7</v>
      </c>
      <c r="F75" s="1">
        <v>45304.98814959314</v>
      </c>
      <c r="G75">
        <v>-95.76</v>
      </c>
      <c r="H75">
        <v>-111.19</v>
      </c>
      <c r="I75" s="1">
        <v>212.49656231592832</v>
      </c>
      <c r="J75" s="1">
        <f t="shared" si="16"/>
        <v>9</v>
      </c>
      <c r="K75" s="1">
        <f>SQRT((POWER($E$69,2)+POWER($B74,2)))</f>
        <v>57.868132853929197</v>
      </c>
      <c r="L75" s="1">
        <f>(averages__9[[#This Row],[dist_a_m]]/$D$1)/$G$1</f>
        <v>12337.682288189306</v>
      </c>
      <c r="M75" s="1">
        <f>averages__9[[#This Row],[TOF_clk]]-averages__9[[#This Row],[dist_a_clk]]</f>
        <v>32967.305861403831</v>
      </c>
      <c r="N75" s="1">
        <f>averages__9[[#This Row],[delta_clk]]*$G$1*1000000000</f>
        <v>515.93965753650764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2BA-731E-4750-AF50-C6116C1DC89A}">
  <dimension ref="B2:AH49"/>
  <sheetViews>
    <sheetView tabSelected="1" topLeftCell="C1" zoomScaleNormal="100" workbookViewId="0">
      <selection activeCell="F20" sqref="F20"/>
    </sheetView>
  </sheetViews>
  <sheetFormatPr defaultRowHeight="15" x14ac:dyDescent="0.25"/>
  <cols>
    <col min="2" max="2" width="15.42578125" customWidth="1"/>
    <col min="3" max="3" width="11.42578125" customWidth="1"/>
    <col min="4" max="4" width="11.5703125" customWidth="1"/>
    <col min="11" max="11" width="11.85546875" customWidth="1"/>
    <col min="12" max="12" width="15.85546875" customWidth="1"/>
    <col min="13" max="13" width="15.5703125" customWidth="1"/>
    <col min="14" max="14" width="11" customWidth="1"/>
    <col min="15" max="15" width="11.5703125" customWidth="1"/>
    <col min="16" max="16" width="11.85546875" customWidth="1"/>
    <col min="17" max="17" width="11.140625" customWidth="1"/>
    <col min="18" max="18" width="10.7109375" customWidth="1"/>
    <col min="19" max="19" width="15" customWidth="1"/>
    <col min="20" max="20" width="9.140625" customWidth="1"/>
  </cols>
  <sheetData>
    <row r="2" spans="2:23" x14ac:dyDescent="0.25">
      <c r="B2" t="s">
        <v>15</v>
      </c>
      <c r="C2">
        <v>299702547</v>
      </c>
      <c r="D2" t="s">
        <v>17</v>
      </c>
    </row>
    <row r="3" spans="2:23" x14ac:dyDescent="0.25">
      <c r="B3" t="s">
        <v>16</v>
      </c>
      <c r="C3" s="2">
        <v>1.5650040064103001E-11</v>
      </c>
      <c r="D3" t="s">
        <v>18</v>
      </c>
      <c r="K3" s="1">
        <f>I5*C3*1000000000</f>
        <v>518.06152040978191</v>
      </c>
      <c r="N3">
        <f>N5/C2</f>
        <v>4.3997959938468681E-9</v>
      </c>
      <c r="P3" s="2">
        <f>K3-N3</f>
        <v>518.06152040538211</v>
      </c>
    </row>
    <row r="4" spans="2:23" x14ac:dyDescent="0.25">
      <c r="H4" t="s">
        <v>0</v>
      </c>
      <c r="I4" t="s">
        <v>10</v>
      </c>
      <c r="J4" t="s">
        <v>1</v>
      </c>
      <c r="K4" t="s">
        <v>2</v>
      </c>
      <c r="L4" t="s">
        <v>22</v>
      </c>
      <c r="M4" t="s">
        <v>23</v>
      </c>
      <c r="N4" t="s">
        <v>13</v>
      </c>
      <c r="O4" t="s">
        <v>21</v>
      </c>
      <c r="P4" t="s">
        <v>14</v>
      </c>
      <c r="Q4" t="s">
        <v>11</v>
      </c>
      <c r="R4" t="s">
        <v>12</v>
      </c>
      <c r="S4" t="s">
        <v>24</v>
      </c>
    </row>
    <row r="5" spans="2:23" x14ac:dyDescent="0.25">
      <c r="B5" t="s">
        <v>0</v>
      </c>
      <c r="C5" t="s">
        <v>8</v>
      </c>
      <c r="H5" t="str">
        <f>averages!E7</f>
        <v>11a1</v>
      </c>
      <c r="I5">
        <f>averages!F7</f>
        <v>33102.887806535153</v>
      </c>
      <c r="J5">
        <f>averages!G7</f>
        <v>-81.44</v>
      </c>
      <c r="K5">
        <f>averages!H7</f>
        <v>-91.3</v>
      </c>
      <c r="L5">
        <f>averages!I7</f>
        <v>155.26435716950411</v>
      </c>
      <c r="M5">
        <f>averages!J7</f>
        <v>1</v>
      </c>
      <c r="N5" s="3">
        <f>SQRT(VLOOKUP(M5,Table36[#All],2,FALSE)^2 + VLOOKUP(H5,Table13[#All],2,FALSE)^2)</f>
        <v>1.3186300656363028</v>
      </c>
      <c r="O5">
        <f>VLOOKUP(M5,Table36[#All],3,FALSE)</f>
        <v>2E-3</v>
      </c>
      <c r="P5" s="1">
        <f t="shared" ref="P5:P49" si="0">(N5/$C$2)/$C$3</f>
        <v>281.13640449642179</v>
      </c>
      <c r="Q5" s="1">
        <f t="shared" ref="Q5:Q49" si="1">I5-P5</f>
        <v>32821.751402038732</v>
      </c>
      <c r="R5" s="1">
        <f t="shared" ref="R5:R49" si="2">Q5*$C$3*1000000000</f>
        <v>513.66172441593505</v>
      </c>
      <c r="S5" s="1">
        <f>((Table47[[#This Row],[deviation]]/$C$2)*1000000000)/2</f>
        <v>3.3366416468926441E-3</v>
      </c>
      <c r="U5" t="str">
        <f>Table47[[#This Row],[Name]]</f>
        <v>11a1</v>
      </c>
      <c r="V5" cm="1">
        <f t="array" ref="V5:W5">LINEST(R5:R13, J5:J13)</f>
        <v>-0.17523904441237978</v>
      </c>
      <c r="W5">
        <v>499.33410887917324</v>
      </c>
    </row>
    <row r="6" spans="2:23" x14ac:dyDescent="0.25">
      <c r="B6" t="s">
        <v>3</v>
      </c>
      <c r="C6">
        <v>0.127</v>
      </c>
      <c r="H6" t="str">
        <f>averages!E15</f>
        <v>11a1</v>
      </c>
      <c r="I6">
        <f>averages!F15</f>
        <v>33778.330635524748</v>
      </c>
      <c r="J6">
        <f>averages!G15</f>
        <v>-84.03</v>
      </c>
      <c r="K6">
        <f>averages!H15</f>
        <v>-94.44</v>
      </c>
      <c r="L6">
        <f>averages!I15</f>
        <v>158.43242508130473</v>
      </c>
      <c r="M6">
        <f>averages!J15</f>
        <v>2</v>
      </c>
      <c r="N6" s="3">
        <f>SQRT(VLOOKUP(M6,Table36[#All],2,FALSE)^2 + VLOOKUP(H6,Table13[#All],2,FALSE)^2)</f>
        <v>4.4303206712381433</v>
      </c>
      <c r="O6">
        <f>VLOOKUP(M6,Table36[#All],3,FALSE)</f>
        <v>2E-3</v>
      </c>
      <c r="P6" s="1">
        <f t="shared" si="0"/>
        <v>944.55940049951755</v>
      </c>
      <c r="Q6" s="1">
        <f t="shared" si="1"/>
        <v>32833.771235025233</v>
      </c>
      <c r="R6" s="1">
        <f t="shared" si="2"/>
        <v>513.84983528373766</v>
      </c>
      <c r="S6" s="1">
        <f>((Table47[[#This Row],[deviation]]/$C$2)*1000000000)/2</f>
        <v>3.3366416468926441E-3</v>
      </c>
      <c r="U6">
        <v>-80</v>
      </c>
      <c r="V6">
        <f>U6*$V$5+$W$5</f>
        <v>513.35323243216362</v>
      </c>
    </row>
    <row r="7" spans="2:23" x14ac:dyDescent="0.25">
      <c r="B7" t="s">
        <v>4</v>
      </c>
      <c r="C7">
        <v>0.128</v>
      </c>
      <c r="H7" t="str">
        <f>averages!E23</f>
        <v>11a1</v>
      </c>
      <c r="I7">
        <f>averages!F23</f>
        <v>34250.355722209781</v>
      </c>
      <c r="J7">
        <f>averages!G23</f>
        <v>-83.38</v>
      </c>
      <c r="K7">
        <f>averages!H23</f>
        <v>-91.09</v>
      </c>
      <c r="L7">
        <f>averages!I23</f>
        <v>160.64639118844187</v>
      </c>
      <c r="M7">
        <f>averages!J23</f>
        <v>3</v>
      </c>
      <c r="N7" s="3">
        <f>SQRT(VLOOKUP(M7,Table36[#All],2,FALSE)^2 + VLOOKUP(H7,Table13[#All],2,FALSE)^2)</f>
        <v>6.5952228923668681</v>
      </c>
      <c r="O7">
        <f>VLOOKUP(M7,Table36[#All],3,FALSE)</f>
        <v>2E-3</v>
      </c>
      <c r="P7" s="1">
        <f t="shared" si="0"/>
        <v>1406.1239001992512</v>
      </c>
      <c r="Q7" s="1">
        <f t="shared" si="1"/>
        <v>32844.23182201053</v>
      </c>
      <c r="R7" s="1">
        <f t="shared" si="2"/>
        <v>514.01354388915149</v>
      </c>
      <c r="S7" s="1">
        <f>((Table47[[#This Row],[deviation]]/$C$2)*1000000000)/2</f>
        <v>3.3366416468926441E-3</v>
      </c>
      <c r="U7">
        <v>-100</v>
      </c>
      <c r="V7">
        <f>U7*$V$5+$W$5</f>
        <v>516.85801332041126</v>
      </c>
    </row>
    <row r="8" spans="2:23" x14ac:dyDescent="0.25">
      <c r="B8" t="s">
        <v>5</v>
      </c>
      <c r="C8">
        <v>0.13900000000000001</v>
      </c>
      <c r="H8" t="str">
        <f>averages!E31</f>
        <v>11a1</v>
      </c>
      <c r="I8">
        <f>averages!F31</f>
        <v>36185.527283674099</v>
      </c>
      <c r="J8">
        <f>averages!G31</f>
        <v>-88.6</v>
      </c>
      <c r="K8">
        <f>averages!H31</f>
        <v>-96.3</v>
      </c>
      <c r="L8">
        <f>averages!I31</f>
        <v>169.72303641225056</v>
      </c>
      <c r="M8">
        <f>averages!J31</f>
        <v>4</v>
      </c>
      <c r="N8" s="3">
        <f>SQRT(VLOOKUP(M8,Table36[#All],2,FALSE)^2 + VLOOKUP(H8,Table13[#All],2,FALSE)^2)</f>
        <v>15.526519410350796</v>
      </c>
      <c r="O8">
        <f>VLOOKUP(M8,Table36[#All],3,FALSE)</f>
        <v>2E-3</v>
      </c>
      <c r="P8" s="1">
        <f t="shared" si="0"/>
        <v>3310.3066243704743</v>
      </c>
      <c r="Q8" s="1">
        <f t="shared" si="1"/>
        <v>32875.220659303624</v>
      </c>
      <c r="R8" s="1">
        <f t="shared" si="2"/>
        <v>514.49852043432838</v>
      </c>
      <c r="S8" s="1">
        <f>((Table47[[#This Row],[deviation]]/$C$2)*1000000000)/2</f>
        <v>3.3366416468926441E-3</v>
      </c>
    </row>
    <row r="9" spans="2:23" x14ac:dyDescent="0.25">
      <c r="B9" t="s">
        <v>6</v>
      </c>
      <c r="C9">
        <v>0.14099999999999999</v>
      </c>
      <c r="H9" t="str">
        <f>averages!E39</f>
        <v>11a1</v>
      </c>
      <c r="I9">
        <f>averages!F39</f>
        <v>38225.024788673349</v>
      </c>
      <c r="J9">
        <f>averages!G39</f>
        <v>-84.51</v>
      </c>
      <c r="K9">
        <f>averages!H39</f>
        <v>-91.34</v>
      </c>
      <c r="L9">
        <f>averages!I39</f>
        <v>179.2890075418147</v>
      </c>
      <c r="M9">
        <f>averages!J39</f>
        <v>5</v>
      </c>
      <c r="N9" s="3">
        <f>SQRT(VLOOKUP(M9,Table36[#All],2,FALSE)^2 + VLOOKUP(H9,Table13[#All],2,FALSE)^2)</f>
        <v>25.22731967530439</v>
      </c>
      <c r="O9">
        <f>VLOOKUP(M9,Table36[#All],3,FALSE)</f>
        <v>2E-3</v>
      </c>
      <c r="P9" s="1">
        <f t="shared" si="0"/>
        <v>5378.550158549986</v>
      </c>
      <c r="Q9" s="1">
        <f t="shared" si="1"/>
        <v>32846.474630123361</v>
      </c>
      <c r="R9" s="1">
        <f t="shared" si="2"/>
        <v>514.04864392597335</v>
      </c>
      <c r="S9" s="1">
        <f>((Table47[[#This Row],[deviation]]/$C$2)*1000000000)/2</f>
        <v>3.3366416468926441E-3</v>
      </c>
    </row>
    <row r="10" spans="2:23" x14ac:dyDescent="0.25">
      <c r="B10" t="s">
        <v>7</v>
      </c>
      <c r="C10">
        <v>0.124</v>
      </c>
      <c r="H10" t="str">
        <f>averages!E47</f>
        <v>11a1</v>
      </c>
      <c r="I10">
        <f>averages!F47</f>
        <v>40231.991273679785</v>
      </c>
      <c r="J10">
        <f>averages!G47</f>
        <v>-83.98</v>
      </c>
      <c r="K10">
        <f>averages!H47</f>
        <v>-91.21</v>
      </c>
      <c r="L10">
        <f>averages!I47</f>
        <v>188.70239657833693</v>
      </c>
      <c r="M10">
        <f>averages!J47</f>
        <v>6</v>
      </c>
      <c r="N10" s="3">
        <f>SQRT(VLOOKUP(M10,Table36[#All],2,FALSE)^2 + VLOOKUP(H10,Table13[#All],2,FALSE)^2)</f>
        <v>34.566233306508828</v>
      </c>
      <c r="O10">
        <f>VLOOKUP(M10,Table36[#All],3,FALSE)</f>
        <v>0.05</v>
      </c>
      <c r="P10" s="1">
        <f t="shared" si="0"/>
        <v>7369.638234425538</v>
      </c>
      <c r="Q10" s="1">
        <f t="shared" si="1"/>
        <v>32862.353039254245</v>
      </c>
      <c r="R10" s="1">
        <f t="shared" si="2"/>
        <v>514.29714166502595</v>
      </c>
      <c r="S10" s="1">
        <f>((Table47[[#This Row],[deviation]]/$C$2)*1000000000)/2</f>
        <v>8.3416041172316102E-2</v>
      </c>
    </row>
    <row r="11" spans="2:23" x14ac:dyDescent="0.25">
      <c r="H11" t="str">
        <f>averages!E55</f>
        <v>11a1</v>
      </c>
      <c r="I11">
        <f>averages!F55</f>
        <v>41569.190374719037</v>
      </c>
      <c r="J11">
        <f>averages!G55</f>
        <v>-88.53</v>
      </c>
      <c r="K11">
        <f>averages!H55</f>
        <v>-92.45</v>
      </c>
      <c r="L11">
        <f>averages!I55</f>
        <v>194.97433756559758</v>
      </c>
      <c r="M11">
        <f>averages!J55</f>
        <v>7</v>
      </c>
      <c r="N11" s="3">
        <f>SQRT(VLOOKUP(M11,Table36[#All],2,FALSE)^2 + VLOOKUP(H11,Table13[#All],2,FALSE)^2)</f>
        <v>40.788197716986708</v>
      </c>
      <c r="O11">
        <f>VLOOKUP(M11,Table36[#All],3,FALSE)</f>
        <v>0.05</v>
      </c>
      <c r="P11" s="1">
        <f t="shared" si="0"/>
        <v>8696.182159709364</v>
      </c>
      <c r="Q11" s="1">
        <f t="shared" si="1"/>
        <v>32873.008215009671</v>
      </c>
      <c r="R11" s="1">
        <f t="shared" si="2"/>
        <v>514.46389559248848</v>
      </c>
      <c r="S11" s="1">
        <f>((Table47[[#This Row],[deviation]]/$C$2)*1000000000)/2</f>
        <v>8.3416041172316102E-2</v>
      </c>
    </row>
    <row r="12" spans="2:23" x14ac:dyDescent="0.25">
      <c r="B12" t="s">
        <v>19</v>
      </c>
      <c r="C12" t="s">
        <v>20</v>
      </c>
      <c r="D12" t="s">
        <v>21</v>
      </c>
      <c r="H12" t="str">
        <f>averages!E63</f>
        <v>11a1</v>
      </c>
      <c r="I12">
        <f>averages!F63</f>
        <v>43567.796914812468</v>
      </c>
      <c r="J12">
        <f>averages!G63</f>
        <v>-88.61</v>
      </c>
      <c r="K12">
        <f>averages!H63</f>
        <v>-95.01</v>
      </c>
      <c r="L12">
        <f>averages!I63</f>
        <v>204.34851547708215</v>
      </c>
      <c r="M12">
        <f>averages!J63</f>
        <v>8</v>
      </c>
      <c r="N12" s="3">
        <f>SQRT(VLOOKUP(M12,Table36[#All],2,FALSE)^2 + VLOOKUP(H12,Table13[#All],2,FALSE)^2)</f>
        <v>49.890161645358496</v>
      </c>
      <c r="O12">
        <f>VLOOKUP(M12,Table36[#All],3,FALSE)</f>
        <v>0.1</v>
      </c>
      <c r="P12" s="1">
        <f t="shared" si="0"/>
        <v>10636.751754900402</v>
      </c>
      <c r="Q12" s="1">
        <f t="shared" si="1"/>
        <v>32931.045159912064</v>
      </c>
      <c r="R12" s="1">
        <f t="shared" si="2"/>
        <v>515.37217610540904</v>
      </c>
      <c r="S12" s="1">
        <f>((Table47[[#This Row],[deviation]]/$C$2)*1000000000)/2</f>
        <v>0.1668320823446322</v>
      </c>
    </row>
    <row r="13" spans="2:23" x14ac:dyDescent="0.25">
      <c r="B13">
        <v>1</v>
      </c>
      <c r="C13">
        <v>1.3125</v>
      </c>
      <c r="D13">
        <v>2E-3</v>
      </c>
      <c r="H13" t="str">
        <f>averages!E71</f>
        <v>11a1</v>
      </c>
      <c r="I13">
        <f>averages!F71</f>
        <v>45281.014258913201</v>
      </c>
      <c r="J13">
        <f>averages!G71</f>
        <v>-91.65</v>
      </c>
      <c r="K13">
        <f>averages!H71</f>
        <v>-100.21</v>
      </c>
      <c r="L13">
        <f>averages!I71</f>
        <v>212.38411621312824</v>
      </c>
      <c r="M13">
        <f>averages!J71</f>
        <v>9</v>
      </c>
      <c r="N13" s="3">
        <f>SQRT(VLOOKUP(M13,Table36[#All],2,FALSE)^2 + VLOOKUP(H13,Table13[#All],2,FALSE)^2)</f>
        <v>57.868139360100393</v>
      </c>
      <c r="O13">
        <f>VLOOKUP(M13,Table36[#All],3,FALSE)</f>
        <v>0.1</v>
      </c>
      <c r="P13" s="1">
        <f t="shared" si="0"/>
        <v>12337.683675327082</v>
      </c>
      <c r="Q13" s="1">
        <f t="shared" si="1"/>
        <v>32943.330583586117</v>
      </c>
      <c r="R13" s="1">
        <f t="shared" si="2"/>
        <v>515.56444347811248</v>
      </c>
      <c r="S13" s="1">
        <f>((Table47[[#This Row],[deviation]]/$C$2)*1000000000)/2</f>
        <v>0.1668320823446322</v>
      </c>
    </row>
    <row r="14" spans="2:23" x14ac:dyDescent="0.25">
      <c r="B14">
        <v>2</v>
      </c>
      <c r="C14">
        <v>4.4284999999999997</v>
      </c>
      <c r="D14">
        <v>2E-3</v>
      </c>
      <c r="H14" t="str">
        <f>averages!E8</f>
        <v>12a2</v>
      </c>
      <c r="I14">
        <f>averages!F8</f>
        <v>33124.309481664619</v>
      </c>
      <c r="J14">
        <f>averages!G8</f>
        <v>-82.35</v>
      </c>
      <c r="K14">
        <f>averages!H8</f>
        <v>-91.12</v>
      </c>
      <c r="L14">
        <f>averages!I8</f>
        <v>155.36483247056876</v>
      </c>
      <c r="M14">
        <f>averages!J8</f>
        <v>1</v>
      </c>
      <c r="N14" s="3">
        <f>SQRT(VLOOKUP(M14,Table36[#All],2,FALSE)^2 + VLOOKUP(H14,Table13[#All],2,FALSE)^2)</f>
        <v>1.3187267533496088</v>
      </c>
      <c r="O14">
        <f>VLOOKUP(M14,Table36[#All],3,FALSE)</f>
        <v>2E-3</v>
      </c>
      <c r="P14" s="1">
        <f t="shared" si="0"/>
        <v>281.15701864498868</v>
      </c>
      <c r="Q14" s="1">
        <f t="shared" si="1"/>
        <v>32843.152463019629</v>
      </c>
      <c r="R14" s="1">
        <f t="shared" si="2"/>
        <v>513.99665187770029</v>
      </c>
      <c r="S14" s="1">
        <f>((Table47[[#This Row],[deviation]]/$C$2)*1000000000)/2</f>
        <v>3.3366416468926441E-3</v>
      </c>
      <c r="U14" t="str">
        <f>Table47[[#This Row],[Name]]</f>
        <v>12a2</v>
      </c>
      <c r="V14" cm="1">
        <f t="array" ref="V14:W14">LINEST(R14:R22, J14:J22)</f>
        <v>-0.2517198999778989</v>
      </c>
      <c r="W14">
        <v>493.13585251366607</v>
      </c>
    </row>
    <row r="15" spans="2:23" x14ac:dyDescent="0.25">
      <c r="B15">
        <v>3</v>
      </c>
      <c r="C15">
        <v>6.5940000000000003</v>
      </c>
      <c r="D15">
        <v>2E-3</v>
      </c>
      <c r="H15" t="str">
        <f>averages!E16</f>
        <v>12a2</v>
      </c>
      <c r="I15">
        <f>averages!F16</f>
        <v>33814.783719047111</v>
      </c>
      <c r="J15">
        <f>averages!G16</f>
        <v>-83.88</v>
      </c>
      <c r="K15">
        <f>averages!H16</f>
        <v>-91.12</v>
      </c>
      <c r="L15">
        <f>averages!I16</f>
        <v>158.60340305195868</v>
      </c>
      <c r="M15">
        <f>averages!J16</f>
        <v>2</v>
      </c>
      <c r="N15" s="3">
        <f>SQRT(VLOOKUP(M15,Table36[#All],2,FALSE)^2 + VLOOKUP(H15,Table13[#All],2,FALSE)^2)</f>
        <v>4.4303494500998442</v>
      </c>
      <c r="O15">
        <f>VLOOKUP(M15,Table36[#All],3,FALSE)</f>
        <v>2E-3</v>
      </c>
      <c r="P15" s="1">
        <f t="shared" si="0"/>
        <v>944.56553625048741</v>
      </c>
      <c r="Q15" s="1">
        <f t="shared" si="1"/>
        <v>32870.218182796627</v>
      </c>
      <c r="R15" s="1">
        <f t="shared" si="2"/>
        <v>514.42023147657414</v>
      </c>
      <c r="S15" s="1">
        <f>((Table47[[#This Row],[deviation]]/$C$2)*1000000000)/2</f>
        <v>3.3366416468926441E-3</v>
      </c>
      <c r="U15">
        <v>-80</v>
      </c>
      <c r="V15">
        <f>U15*$V$14+$W$14</f>
        <v>513.27344451189799</v>
      </c>
    </row>
    <row r="16" spans="2:23" x14ac:dyDescent="0.25">
      <c r="B16">
        <v>4</v>
      </c>
      <c r="C16">
        <v>15.526</v>
      </c>
      <c r="D16">
        <v>2E-3</v>
      </c>
      <c r="H16" t="str">
        <f>averages!E24</f>
        <v>12a2</v>
      </c>
      <c r="I16">
        <f>averages!F24</f>
        <v>34292.347392363634</v>
      </c>
      <c r="J16">
        <f>averages!G24</f>
        <v>-84.51</v>
      </c>
      <c r="K16">
        <f>averages!H24</f>
        <v>-91.93</v>
      </c>
      <c r="L16">
        <f>averages!I24</f>
        <v>160.84334710694102</v>
      </c>
      <c r="M16">
        <f>averages!J24</f>
        <v>3</v>
      </c>
      <c r="N16" s="3">
        <f>SQRT(VLOOKUP(M16,Table36[#All],2,FALSE)^2 + VLOOKUP(H16,Table13[#All],2,FALSE)^2)</f>
        <v>6.5952422245130622</v>
      </c>
      <c r="O16">
        <f>VLOOKUP(M16,Table36[#All],3,FALSE)</f>
        <v>2E-3</v>
      </c>
      <c r="P16" s="1">
        <f t="shared" si="0"/>
        <v>1406.1280218784198</v>
      </c>
      <c r="Q16" s="1">
        <f t="shared" si="1"/>
        <v>32886.219370485211</v>
      </c>
      <c r="R16" s="1">
        <f t="shared" si="2"/>
        <v>514.6706507049737</v>
      </c>
      <c r="S16" s="1">
        <f>((Table47[[#This Row],[deviation]]/$C$2)*1000000000)/2</f>
        <v>3.3366416468926441E-3</v>
      </c>
      <c r="U16">
        <v>-100</v>
      </c>
      <c r="V16">
        <f>U16*$V$14+$W$14</f>
        <v>518.30784251145599</v>
      </c>
    </row>
    <row r="17" spans="2:23" x14ac:dyDescent="0.25">
      <c r="B17">
        <v>5</v>
      </c>
      <c r="C17">
        <v>25.227</v>
      </c>
      <c r="D17">
        <v>2E-3</v>
      </c>
      <c r="H17" t="str">
        <f>averages!E32</f>
        <v>12a2</v>
      </c>
      <c r="I17">
        <f>averages!F32</f>
        <v>36219.860700838937</v>
      </c>
      <c r="J17">
        <f>averages!G32</f>
        <v>-88.86</v>
      </c>
      <c r="K17">
        <f>averages!H32</f>
        <v>-93.2</v>
      </c>
      <c r="L17">
        <f>averages!I32</f>
        <v>169.88407239124689</v>
      </c>
      <c r="M17">
        <f>averages!J32</f>
        <v>4</v>
      </c>
      <c r="N17" s="3">
        <f>SQRT(VLOOKUP(M17,Table36[#All],2,FALSE)^2 + VLOOKUP(H17,Table13[#All],2,FALSE)^2)</f>
        <v>15.526527622105336</v>
      </c>
      <c r="O17">
        <f>VLOOKUP(M17,Table36[#All],3,FALSE)</f>
        <v>2E-3</v>
      </c>
      <c r="P17" s="1">
        <f t="shared" si="0"/>
        <v>3310.3083751444069</v>
      </c>
      <c r="Q17" s="1">
        <f t="shared" si="1"/>
        <v>32909.552325694531</v>
      </c>
      <c r="R17" s="1">
        <f t="shared" si="2"/>
        <v>515.0358123888135</v>
      </c>
      <c r="S17" s="1">
        <f>((Table47[[#This Row],[deviation]]/$C$2)*1000000000)/2</f>
        <v>3.3366416468926441E-3</v>
      </c>
    </row>
    <row r="18" spans="2:23" x14ac:dyDescent="0.25">
      <c r="B18">
        <v>6</v>
      </c>
      <c r="C18">
        <v>34.566000000000003</v>
      </c>
      <c r="D18">
        <v>0.05</v>
      </c>
      <c r="H18" t="str">
        <f>averages!E40</f>
        <v>12a2</v>
      </c>
      <c r="I18">
        <f>averages!F40</f>
        <v>38272.608464820521</v>
      </c>
      <c r="J18">
        <f>averages!G40</f>
        <v>-87.14</v>
      </c>
      <c r="K18">
        <f>averages!H40</f>
        <v>-91.56</v>
      </c>
      <c r="L18">
        <f>averages!I40</f>
        <v>179.5121919640298</v>
      </c>
      <c r="M18">
        <f>averages!J40</f>
        <v>5</v>
      </c>
      <c r="N18" s="3">
        <f>SQRT(VLOOKUP(M18,Table36[#All],2,FALSE)^2 + VLOOKUP(H18,Table13[#All],2,FALSE)^2)</f>
        <v>25.227324729348531</v>
      </c>
      <c r="O18">
        <f>VLOOKUP(M18,Table36[#All],3,FALSE)</f>
        <v>2E-3</v>
      </c>
      <c r="P18" s="1">
        <f t="shared" si="0"/>
        <v>5378.5512360893472</v>
      </c>
      <c r="Q18" s="1">
        <f t="shared" si="1"/>
        <v>32894.057228731173</v>
      </c>
      <c r="R18" s="1">
        <f t="shared" si="2"/>
        <v>514.79331350053974</v>
      </c>
      <c r="S18" s="1">
        <f>((Table47[[#This Row],[deviation]]/$C$2)*1000000000)/2</f>
        <v>3.3366416468926441E-3</v>
      </c>
    </row>
    <row r="19" spans="2:23" x14ac:dyDescent="0.25">
      <c r="B19">
        <v>7</v>
      </c>
      <c r="C19">
        <v>40.787999999999997</v>
      </c>
      <c r="D19">
        <v>0.05</v>
      </c>
      <c r="H19" t="str">
        <f>averages!E48</f>
        <v>12a2</v>
      </c>
      <c r="I19">
        <f>averages!F48</f>
        <v>40298.581009807654</v>
      </c>
      <c r="J19">
        <f>averages!G48</f>
        <v>-88.84</v>
      </c>
      <c r="K19">
        <f>averages!H48</f>
        <v>-94.64</v>
      </c>
      <c r="L19">
        <f>averages!I48</f>
        <v>189.01472620451352</v>
      </c>
      <c r="M19">
        <f>averages!J48</f>
        <v>6</v>
      </c>
      <c r="N19" s="3">
        <f>SQRT(VLOOKUP(M19,Table36[#All],2,FALSE)^2 + VLOOKUP(H19,Table13[#All],2,FALSE)^2)</f>
        <v>34.566236995079464</v>
      </c>
      <c r="O19">
        <f>VLOOKUP(M19,Table36[#All],3,FALSE)</f>
        <v>0.05</v>
      </c>
      <c r="P19" s="1">
        <f t="shared" si="0"/>
        <v>7369.639020841314</v>
      </c>
      <c r="Q19" s="1">
        <f t="shared" si="1"/>
        <v>32928.94198896634</v>
      </c>
      <c r="R19" s="1">
        <f t="shared" si="2"/>
        <v>515.33926139584673</v>
      </c>
      <c r="S19" s="1">
        <f>((Table47[[#This Row],[deviation]]/$C$2)*1000000000)/2</f>
        <v>8.3416041172316102E-2</v>
      </c>
    </row>
    <row r="20" spans="2:23" x14ac:dyDescent="0.25">
      <c r="B20">
        <v>8</v>
      </c>
      <c r="C20">
        <v>49.89</v>
      </c>
      <c r="D20">
        <v>0.1</v>
      </c>
      <c r="H20" t="str">
        <f>averages!E56</f>
        <v>12a2</v>
      </c>
      <c r="I20">
        <f>averages!F56</f>
        <v>41635.007369031016</v>
      </c>
      <c r="J20">
        <f>averages!G56</f>
        <v>-88.89</v>
      </c>
      <c r="K20">
        <f>averages!H56</f>
        <v>-93.7</v>
      </c>
      <c r="L20">
        <f>averages!I56</f>
        <v>195.28304275689089</v>
      </c>
      <c r="M20">
        <f>averages!J56</f>
        <v>7</v>
      </c>
      <c r="N20" s="3">
        <f>SQRT(VLOOKUP(M20,Table36[#All],2,FALSE)^2 + VLOOKUP(H20,Table13[#All],2,FALSE)^2)</f>
        <v>40.788200842890824</v>
      </c>
      <c r="O20">
        <f>VLOOKUP(M20,Table36[#All],3,FALSE)</f>
        <v>0.05</v>
      </c>
      <c r="P20" s="1">
        <f t="shared" si="0"/>
        <v>8696.1828261627288</v>
      </c>
      <c r="Q20" s="1">
        <f t="shared" si="1"/>
        <v>32938.824542868286</v>
      </c>
      <c r="R20" s="1">
        <f t="shared" si="2"/>
        <v>515.49392376034791</v>
      </c>
      <c r="S20" s="1">
        <f>((Table47[[#This Row],[deviation]]/$C$2)*1000000000)/2</f>
        <v>8.3416041172316102E-2</v>
      </c>
    </row>
    <row r="21" spans="2:23" x14ac:dyDescent="0.25">
      <c r="B21">
        <v>9</v>
      </c>
      <c r="C21">
        <v>57.868000000000002</v>
      </c>
      <c r="D21">
        <v>0.1</v>
      </c>
      <c r="H21" t="str">
        <f>averages!E64</f>
        <v>12a2</v>
      </c>
      <c r="I21">
        <f>averages!F64</f>
        <v>43621.040909836775</v>
      </c>
      <c r="J21">
        <f>averages!G64</f>
        <v>-92.22</v>
      </c>
      <c r="K21">
        <f>averages!H64</f>
        <v>-97.73</v>
      </c>
      <c r="L21">
        <f>averages!I64</f>
        <v>204.59824881481688</v>
      </c>
      <c r="M21">
        <f>averages!J64</f>
        <v>8</v>
      </c>
      <c r="N21" s="3">
        <f>SQRT(VLOOKUP(M21,Table36[#All],2,FALSE)^2 + VLOOKUP(H21,Table13[#All],2,FALSE)^2)</f>
        <v>49.890164200972521</v>
      </c>
      <c r="O21">
        <f>VLOOKUP(M21,Table36[#All],3,FALSE)</f>
        <v>0.1</v>
      </c>
      <c r="P21" s="1">
        <f t="shared" si="0"/>
        <v>10636.752299765983</v>
      </c>
      <c r="Q21" s="1">
        <f t="shared" si="1"/>
        <v>32984.288610070791</v>
      </c>
      <c r="R21" s="1">
        <f t="shared" si="2"/>
        <v>516.20543823354421</v>
      </c>
      <c r="S21" s="1">
        <f>((Table47[[#This Row],[deviation]]/$C$2)*1000000000)/2</f>
        <v>0.1668320823446322</v>
      </c>
    </row>
    <row r="22" spans="2:23" x14ac:dyDescent="0.25">
      <c r="H22" t="str">
        <f>averages!E72</f>
        <v>12a2</v>
      </c>
      <c r="I22">
        <f>averages!F72</f>
        <v>45400.424331409668</v>
      </c>
      <c r="J22">
        <f>averages!G72</f>
        <v>-94.53</v>
      </c>
      <c r="K22">
        <f>averages!H72</f>
        <v>-97.8</v>
      </c>
      <c r="L22">
        <f>averages!I72</f>
        <v>212.94419206675414</v>
      </c>
      <c r="M22">
        <f>averages!J72</f>
        <v>9</v>
      </c>
      <c r="N22" s="3">
        <f>SQRT(VLOOKUP(M22,Table36[#All],2,FALSE)^2 + VLOOKUP(H22,Table13[#All],2,FALSE)^2)</f>
        <v>57.868141563385294</v>
      </c>
      <c r="O22">
        <f>VLOOKUP(M22,Table36[#All],3,FALSE)</f>
        <v>0.1</v>
      </c>
      <c r="P22" s="1">
        <f t="shared" si="0"/>
        <v>12337.6841450749</v>
      </c>
      <c r="Q22" s="1">
        <f t="shared" si="1"/>
        <v>33062.74018633477</v>
      </c>
      <c r="R22" s="1">
        <f t="shared" si="2"/>
        <v>517.43320854516742</v>
      </c>
      <c r="S22" s="1">
        <f>((Table47[[#This Row],[deviation]]/$C$2)*1000000000)/2</f>
        <v>0.1668320823446322</v>
      </c>
    </row>
    <row r="23" spans="2:23" x14ac:dyDescent="0.25">
      <c r="H23" t="str">
        <f>averages!E9</f>
        <v>13a3</v>
      </c>
      <c r="I23">
        <f>averages!F9</f>
        <v>33102.79023001757</v>
      </c>
      <c r="J23">
        <f>averages!G9</f>
        <v>-80.959999999999994</v>
      </c>
      <c r="K23">
        <f>averages!H9</f>
        <v>-90.93</v>
      </c>
      <c r="L23">
        <f>averages!I9</f>
        <v>155.26389950081472</v>
      </c>
      <c r="M23">
        <f>averages!J9</f>
        <v>1</v>
      </c>
      <c r="N23" s="3">
        <f>SQRT(VLOOKUP(M23,Table36[#All],2,FALSE)^2 + VLOOKUP(H23,Table13[#All],2,FALSE)^2)</f>
        <v>1.3198398577100177</v>
      </c>
      <c r="O23">
        <f>VLOOKUP(M23,Table36[#All],3,FALSE)</f>
        <v>2E-3</v>
      </c>
      <c r="P23" s="1">
        <f t="shared" si="0"/>
        <v>281.39433627172104</v>
      </c>
      <c r="Q23" s="1">
        <f t="shared" si="1"/>
        <v>32821.395893745852</v>
      </c>
      <c r="R23" s="1">
        <f t="shared" si="2"/>
        <v>513.65616069690827</v>
      </c>
      <c r="S23" s="1">
        <f>((Table47[[#This Row],[deviation]]/$C$2)*1000000000)/2</f>
        <v>3.3366416468926441E-3</v>
      </c>
    </row>
    <row r="24" spans="2:23" x14ac:dyDescent="0.25">
      <c r="H24" t="str">
        <f>averages!E17</f>
        <v>13a3</v>
      </c>
      <c r="I24">
        <f>averages!F17</f>
        <v>33791.871416627648</v>
      </c>
      <c r="J24">
        <f>averages!G17</f>
        <v>-83.03</v>
      </c>
      <c r="K24">
        <f>averages!H17</f>
        <v>-91.94</v>
      </c>
      <c r="L24">
        <f>averages!I17</f>
        <v>158.49593617694697</v>
      </c>
      <c r="M24">
        <f>averages!J17</f>
        <v>2</v>
      </c>
      <c r="N24" s="3">
        <f>SQRT(VLOOKUP(M24,Table36[#All],2,FALSE)^2 + VLOOKUP(H24,Table13[#All],2,FALSE)^2)</f>
        <v>4.4306809013965331</v>
      </c>
      <c r="O24">
        <f>VLOOKUP(M24,Table36[#All],3,FALSE)</f>
        <v>2E-3</v>
      </c>
      <c r="P24" s="1">
        <f t="shared" si="0"/>
        <v>944.636202791654</v>
      </c>
      <c r="Q24" s="1">
        <f t="shared" si="1"/>
        <v>32847.235213835993</v>
      </c>
      <c r="R24" s="1">
        <f t="shared" si="2"/>
        <v>514.06054709154819</v>
      </c>
      <c r="S24" s="1">
        <f>((Table47[[#This Row],[deviation]]/$C$2)*1000000000)/2</f>
        <v>3.3366416468926441E-3</v>
      </c>
      <c r="U24" t="str">
        <f>Table47[[#This Row],[Name]]</f>
        <v>13a3</v>
      </c>
      <c r="V24" cm="1">
        <f t="array" ref="V24:W24">LINEST(R24:R32, J24:J32)</f>
        <v>-0.15093519467064664</v>
      </c>
      <c r="W24">
        <v>501.74056664299997</v>
      </c>
    </row>
    <row r="25" spans="2:23" x14ac:dyDescent="0.25">
      <c r="H25" t="str">
        <f>averages!E25</f>
        <v>13a3</v>
      </c>
      <c r="I25">
        <f>averages!F25</f>
        <v>34252.213925974553</v>
      </c>
      <c r="J25">
        <f>averages!G25</f>
        <v>-83.2</v>
      </c>
      <c r="K25">
        <f>averages!H25</f>
        <v>-91.34</v>
      </c>
      <c r="L25">
        <f>averages!I25</f>
        <v>160.65510682723186</v>
      </c>
      <c r="M25">
        <f>averages!J25</f>
        <v>3</v>
      </c>
      <c r="N25" s="3">
        <f>SQRT(VLOOKUP(M25,Table36[#All],2,FALSE)^2 + VLOOKUP(H25,Table13[#All],2,FALSE)^2)</f>
        <v>6.5954648812650047</v>
      </c>
      <c r="O25">
        <f>VLOOKUP(M25,Table36[#All],3,FALSE)</f>
        <v>2E-3</v>
      </c>
      <c r="P25" s="1">
        <f t="shared" si="0"/>
        <v>1406.1754930534742</v>
      </c>
      <c r="Q25" s="1">
        <f t="shared" si="1"/>
        <v>32846.038432921079</v>
      </c>
      <c r="R25" s="1">
        <f t="shared" si="2"/>
        <v>514.04181742228184</v>
      </c>
      <c r="S25" s="1">
        <f>((Table47[[#This Row],[deviation]]/$C$2)*1000000000)/2</f>
        <v>3.3366416468926441E-3</v>
      </c>
      <c r="U25">
        <v>-80</v>
      </c>
      <c r="V25">
        <f>U25*$V$24+$W$24</f>
        <v>513.81538221665164</v>
      </c>
    </row>
    <row r="26" spans="2:23" x14ac:dyDescent="0.25">
      <c r="H26" t="str">
        <f>averages!E33</f>
        <v>13a3</v>
      </c>
      <c r="I26">
        <f>averages!F33</f>
        <v>36191.233058245569</v>
      </c>
      <c r="J26">
        <f>averages!G33</f>
        <v>-85.42</v>
      </c>
      <c r="K26">
        <f>averages!H33</f>
        <v>-92.43</v>
      </c>
      <c r="L26">
        <f>averages!I33</f>
        <v>169.74979853119834</v>
      </c>
      <c r="M26">
        <f>averages!J33</f>
        <v>4</v>
      </c>
      <c r="N26" s="3">
        <f>SQRT(VLOOKUP(M26,Table36[#All],2,FALSE)^2 + VLOOKUP(H26,Table13[#All],2,FALSE)^2)</f>
        <v>15.526622201882804</v>
      </c>
      <c r="O26">
        <f>VLOOKUP(M26,Table36[#All],3,FALSE)</f>
        <v>2E-3</v>
      </c>
      <c r="P26" s="1">
        <f t="shared" si="0"/>
        <v>3310.3285398739004</v>
      </c>
      <c r="Q26" s="1">
        <f t="shared" si="1"/>
        <v>32880.904518371666</v>
      </c>
      <c r="R26" s="1">
        <f t="shared" si="2"/>
        <v>514.58747305646193</v>
      </c>
      <c r="S26" s="1">
        <f>((Table47[[#This Row],[deviation]]/$C$2)*1000000000)/2</f>
        <v>3.3366416468926441E-3</v>
      </c>
      <c r="U26">
        <v>-100</v>
      </c>
      <c r="V26">
        <f>U26*$V$24+$W$24</f>
        <v>516.83408611006462</v>
      </c>
    </row>
    <row r="27" spans="2:23" x14ac:dyDescent="0.25">
      <c r="H27" t="str">
        <f>averages!E41</f>
        <v>13a3</v>
      </c>
      <c r="I27">
        <f>averages!F41</f>
        <v>38259.413342956912</v>
      </c>
      <c r="J27">
        <f>averages!G41</f>
        <v>-82.92</v>
      </c>
      <c r="K27">
        <f>averages!H41</f>
        <v>-91.11</v>
      </c>
      <c r="L27">
        <f>averages!I41</f>
        <v>179.45030213357452</v>
      </c>
      <c r="M27">
        <f>averages!J41</f>
        <v>5</v>
      </c>
      <c r="N27" s="3">
        <f>SQRT(VLOOKUP(M27,Table36[#All],2,FALSE)^2 + VLOOKUP(H27,Table13[#All],2,FALSE)^2)</f>
        <v>25.227382939972191</v>
      </c>
      <c r="O27">
        <f>VLOOKUP(M27,Table36[#All],3,FALSE)</f>
        <v>2E-3</v>
      </c>
      <c r="P27" s="1">
        <f t="shared" si="0"/>
        <v>5378.5636467918375</v>
      </c>
      <c r="Q27" s="1">
        <f t="shared" si="1"/>
        <v>32880.849696165074</v>
      </c>
      <c r="R27" s="1">
        <f t="shared" si="2"/>
        <v>514.58661508673242</v>
      </c>
      <c r="S27" s="1">
        <f>((Table47[[#This Row],[deviation]]/$C$2)*1000000000)/2</f>
        <v>3.3366416468926441E-3</v>
      </c>
    </row>
    <row r="28" spans="2:23" x14ac:dyDescent="0.25">
      <c r="H28" t="str">
        <f>averages!E49</f>
        <v>13a3</v>
      </c>
      <c r="I28">
        <f>averages!F49</f>
        <v>40278.914621973039</v>
      </c>
      <c r="J28">
        <f>averages!G49</f>
        <v>-86.49</v>
      </c>
      <c r="K28">
        <f>averages!H49</f>
        <v>-92.9</v>
      </c>
      <c r="L28">
        <f>averages!I49</f>
        <v>188.92248382726737</v>
      </c>
      <c r="M28">
        <f>averages!J49</f>
        <v>6</v>
      </c>
      <c r="N28" s="3">
        <f>SQRT(VLOOKUP(M28,Table36[#All],2,FALSE)^2 + VLOOKUP(H28,Table13[#All],2,FALSE)^2)</f>
        <v>34.566279478705837</v>
      </c>
      <c r="O28">
        <f>VLOOKUP(M28,Table36[#All],3,FALSE)</f>
        <v>0.05</v>
      </c>
      <c r="P28" s="1">
        <f t="shared" si="0"/>
        <v>7369.6480784946161</v>
      </c>
      <c r="Q28" s="1">
        <f t="shared" si="1"/>
        <v>32909.266543478421</v>
      </c>
      <c r="R28" s="1">
        <f t="shared" si="2"/>
        <v>515.03133988568186</v>
      </c>
      <c r="S28" s="1">
        <f>((Table47[[#This Row],[deviation]]/$C$2)*1000000000)/2</f>
        <v>8.3416041172316102E-2</v>
      </c>
    </row>
    <row r="29" spans="2:23" x14ac:dyDescent="0.25">
      <c r="H29" t="str">
        <f>averages!E57</f>
        <v>13a3</v>
      </c>
      <c r="I29">
        <f>averages!F57</f>
        <v>41615.537235415926</v>
      </c>
      <c r="J29">
        <f>averages!G57</f>
        <v>-87.3</v>
      </c>
      <c r="K29">
        <f>averages!H57</f>
        <v>-93.17</v>
      </c>
      <c r="L29">
        <f>averages!I57</f>
        <v>195.19172088197115</v>
      </c>
      <c r="M29">
        <f>averages!J57</f>
        <v>7</v>
      </c>
      <c r="N29" s="3">
        <f>SQRT(VLOOKUP(M29,Table36[#All],2,FALSE)^2 + VLOOKUP(H29,Table13[#All],2,FALSE)^2)</f>
        <v>40.788236845933902</v>
      </c>
      <c r="O29">
        <f>VLOOKUP(M29,Table36[#All],3,FALSE)</f>
        <v>0.05</v>
      </c>
      <c r="P29" s="1">
        <f t="shared" si="0"/>
        <v>8696.1905021336825</v>
      </c>
      <c r="Q29" s="1">
        <f t="shared" si="1"/>
        <v>32919.346733282247</v>
      </c>
      <c r="R29" s="1">
        <f t="shared" si="2"/>
        <v>515.18909525996537</v>
      </c>
      <c r="S29" s="1">
        <f>((Table47[[#This Row],[deviation]]/$C$2)*1000000000)/2</f>
        <v>8.3416041172316102E-2</v>
      </c>
    </row>
    <row r="30" spans="2:23" x14ac:dyDescent="0.25">
      <c r="H30" t="str">
        <f>averages!E65</f>
        <v>13a3</v>
      </c>
      <c r="I30">
        <f>averages!F65</f>
        <v>43590.39746788067</v>
      </c>
      <c r="J30">
        <f>averages!G65</f>
        <v>-91.8</v>
      </c>
      <c r="K30">
        <f>averages!H65</f>
        <v>-102.59</v>
      </c>
      <c r="L30">
        <f>averages!I65</f>
        <v>204.45452013638308</v>
      </c>
      <c r="M30">
        <f>averages!J65</f>
        <v>8</v>
      </c>
      <c r="N30" s="3">
        <f>SQRT(VLOOKUP(M30,Table36[#All],2,FALSE)^2 + VLOOKUP(H30,Table13[#All],2,FALSE)^2)</f>
        <v>49.890193635623426</v>
      </c>
      <c r="O30">
        <f>VLOOKUP(M30,Table36[#All],3,FALSE)</f>
        <v>0.1</v>
      </c>
      <c r="P30" s="1">
        <f t="shared" si="0"/>
        <v>10636.758575333437</v>
      </c>
      <c r="Q30" s="1">
        <f t="shared" si="1"/>
        <v>32953.638892547235</v>
      </c>
      <c r="R30" s="1">
        <f t="shared" si="2"/>
        <v>515.72576892634709</v>
      </c>
      <c r="S30" s="1">
        <f>((Table47[[#This Row],[deviation]]/$C$2)*1000000000)/2</f>
        <v>0.1668320823446322</v>
      </c>
    </row>
    <row r="31" spans="2:23" x14ac:dyDescent="0.25">
      <c r="H31" t="str">
        <f>averages!E73</f>
        <v>13a3</v>
      </c>
      <c r="I31">
        <f>averages!F73</f>
        <v>45309.222815984554</v>
      </c>
      <c r="J31">
        <f>averages!G73</f>
        <v>-96.2</v>
      </c>
      <c r="K31">
        <f>averages!H73</f>
        <v>-104.29</v>
      </c>
      <c r="L31">
        <f>averages!I73</f>
        <v>212.51642441252037</v>
      </c>
      <c r="M31">
        <f>averages!J73</f>
        <v>9</v>
      </c>
      <c r="N31" s="3">
        <f>SQRT(VLOOKUP(M31,Table36[#All],2,FALSE)^2 + VLOOKUP(H31,Table13[#All],2,FALSE)^2)</f>
        <v>57.868166940037078</v>
      </c>
      <c r="O31">
        <f>VLOOKUP(M31,Table36[#All],3,FALSE)</f>
        <v>0.1</v>
      </c>
      <c r="P31" s="1">
        <f t="shared" si="0"/>
        <v>12337.68955546317</v>
      </c>
      <c r="Q31" s="1">
        <f t="shared" si="1"/>
        <v>32971.533260521384</v>
      </c>
      <c r="R31" s="1">
        <f t="shared" si="2"/>
        <v>516.00581650206436</v>
      </c>
      <c r="S31" s="1">
        <f>((Table47[[#This Row],[deviation]]/$C$2)*1000000000)/2</f>
        <v>0.1668320823446322</v>
      </c>
    </row>
    <row r="32" spans="2:23" x14ac:dyDescent="0.25">
      <c r="H32" t="str">
        <f>averages!E10</f>
        <v>14a4</v>
      </c>
      <c r="I32">
        <f>averages!F10</f>
        <v>33108.606551383011</v>
      </c>
      <c r="J32">
        <f>averages!G10</f>
        <v>-80.86</v>
      </c>
      <c r="K32">
        <f>averages!H10</f>
        <v>-91.88</v>
      </c>
      <c r="L32">
        <f>averages!I10</f>
        <v>155.29118012367681</v>
      </c>
      <c r="M32">
        <f>averages!J10</f>
        <v>1</v>
      </c>
      <c r="N32" s="3">
        <f>SQRT(VLOOKUP(M32,Table36[#All],2,FALSE)^2 + VLOOKUP(H32,Table13[#All],2,FALSE)^2)</f>
        <v>1.3200519876126091</v>
      </c>
      <c r="O32">
        <f>VLOOKUP(M32,Table36[#All],3,FALSE)</f>
        <v>2E-3</v>
      </c>
      <c r="P32" s="1">
        <f t="shared" si="0"/>
        <v>281.43956308677315</v>
      </c>
      <c r="Q32" s="1">
        <f t="shared" si="1"/>
        <v>32827.166988296238</v>
      </c>
      <c r="R32" s="1">
        <f t="shared" si="2"/>
        <v>513.74647855783553</v>
      </c>
      <c r="S32" s="1">
        <f>((Table47[[#This Row],[deviation]]/$C$2)*1000000000)/2</f>
        <v>3.3366416468926441E-3</v>
      </c>
      <c r="U32" t="str">
        <f>Table47[[#This Row],[Name]]</f>
        <v>14a4</v>
      </c>
      <c r="V32" cm="1">
        <f t="array" ref="V32:W32">LINEST(R32:R40, J32:J40)</f>
        <v>-0.10283343727805884</v>
      </c>
      <c r="W32">
        <v>506.0758105905731</v>
      </c>
    </row>
    <row r="33" spans="8:34" x14ac:dyDescent="0.25">
      <c r="H33" t="str">
        <f>averages!E18</f>
        <v>14a4</v>
      </c>
      <c r="I33">
        <f>averages!F18</f>
        <v>33834.832231709945</v>
      </c>
      <c r="J33">
        <f>averages!G18</f>
        <v>-81.34</v>
      </c>
      <c r="K33">
        <f>averages!H18</f>
        <v>-91.53</v>
      </c>
      <c r="L33">
        <f>averages!I18</f>
        <v>158.69743773101726</v>
      </c>
      <c r="M33">
        <f>averages!J18</f>
        <v>2</v>
      </c>
      <c r="N33" s="3">
        <f>SQRT(VLOOKUP(M33,Table36[#All],2,FALSE)^2 + VLOOKUP(H33,Table13[#All],2,FALSE)^2)</f>
        <v>4.4307440966501321</v>
      </c>
      <c r="O33">
        <f>VLOOKUP(M33,Table36[#All],3,FALSE)</f>
        <v>2E-3</v>
      </c>
      <c r="P33" s="1">
        <f t="shared" si="0"/>
        <v>944.64967623416157</v>
      </c>
      <c r="Q33" s="1">
        <f t="shared" si="1"/>
        <v>32890.182555475782</v>
      </c>
      <c r="R33" s="1">
        <f t="shared" si="2"/>
        <v>514.73267470885764</v>
      </c>
      <c r="S33" s="1">
        <f>((Table47[[#This Row],[deviation]]/$C$2)*1000000000)/2</f>
        <v>3.3366416468926441E-3</v>
      </c>
      <c r="U33">
        <v>-80</v>
      </c>
      <c r="V33">
        <f>U33*$V$32+$W$32</f>
        <v>514.30248557281777</v>
      </c>
    </row>
    <row r="34" spans="8:34" x14ac:dyDescent="0.25">
      <c r="H34" t="str">
        <f>averages!E26</f>
        <v>14a4</v>
      </c>
      <c r="I34">
        <f>averages!F26</f>
        <v>34344.230845132261</v>
      </c>
      <c r="J34">
        <f>averages!G26</f>
        <v>-84.16</v>
      </c>
      <c r="K34">
        <f>averages!H26</f>
        <v>-92.14</v>
      </c>
      <c r="L34">
        <f>averages!I26</f>
        <v>161.08669901596286</v>
      </c>
      <c r="M34">
        <f>averages!J26</f>
        <v>3</v>
      </c>
      <c r="N34" s="3">
        <f>SQRT(VLOOKUP(M34,Table36[#All],2,FALSE)^2 + VLOOKUP(H34,Table13[#All],2,FALSE)^2)</f>
        <v>6.5955073345422033</v>
      </c>
      <c r="O34">
        <f>VLOOKUP(M34,Table36[#All],3,FALSE)</f>
        <v>2E-3</v>
      </c>
      <c r="P34" s="1">
        <f t="shared" si="0"/>
        <v>1406.1845442362294</v>
      </c>
      <c r="Q34" s="1">
        <f t="shared" si="1"/>
        <v>32938.046300896029</v>
      </c>
      <c r="R34" s="1">
        <f t="shared" si="2"/>
        <v>515.48174424230251</v>
      </c>
      <c r="S34" s="1">
        <f>((Table47[[#This Row],[deviation]]/$C$2)*1000000000)/2</f>
        <v>3.3366416468926441E-3</v>
      </c>
      <c r="U34">
        <v>-100</v>
      </c>
      <c r="V34">
        <f>U34*$V$32+$W$32</f>
        <v>516.35915431837896</v>
      </c>
    </row>
    <row r="35" spans="8:34" x14ac:dyDescent="0.25">
      <c r="H35" t="str">
        <f>averages!E34</f>
        <v>14a4</v>
      </c>
      <c r="I35">
        <f>averages!F34</f>
        <v>36224.953461654222</v>
      </c>
      <c r="J35">
        <f>averages!G34</f>
        <v>-82.88</v>
      </c>
      <c r="K35">
        <f>averages!H34</f>
        <v>-92.68</v>
      </c>
      <c r="L35">
        <f>averages!I34</f>
        <v>169.90795925691327</v>
      </c>
      <c r="M35">
        <f>averages!J34</f>
        <v>4</v>
      </c>
      <c r="N35" s="3">
        <f>SQRT(VLOOKUP(M35,Table36[#All],2,FALSE)^2 + VLOOKUP(H35,Table13[#All],2,FALSE)^2)</f>
        <v>15.526640235414742</v>
      </c>
      <c r="O35">
        <f>VLOOKUP(M35,Table36[#All],3,FALSE)</f>
        <v>2E-3</v>
      </c>
      <c r="P35" s="1">
        <f t="shared" si="0"/>
        <v>3310.3323846841026</v>
      </c>
      <c r="Q35" s="1">
        <f t="shared" si="1"/>
        <v>32914.621076970121</v>
      </c>
      <c r="R35" s="1">
        <f t="shared" si="2"/>
        <v>515.11513854935151</v>
      </c>
      <c r="S35" s="1">
        <f>((Table47[[#This Row],[deviation]]/$C$2)*1000000000)/2</f>
        <v>3.3366416468926441E-3</v>
      </c>
    </row>
    <row r="36" spans="8:34" x14ac:dyDescent="0.25">
      <c r="H36" t="str">
        <f>averages!E42</f>
        <v>14a4</v>
      </c>
      <c r="I36">
        <f>averages!F42</f>
        <v>38239.862396705488</v>
      </c>
      <c r="J36">
        <f>averages!G42</f>
        <v>-86.6</v>
      </c>
      <c r="K36">
        <f>averages!H42</f>
        <v>-92</v>
      </c>
      <c r="L36">
        <f>averages!I42</f>
        <v>179.35860121855092</v>
      </c>
      <c r="M36">
        <f>averages!J42</f>
        <v>5</v>
      </c>
      <c r="N36" s="3">
        <f>SQRT(VLOOKUP(M36,Table36[#All],2,FALSE)^2 + VLOOKUP(H36,Table13[#All],2,FALSE)^2)</f>
        <v>25.227394039020361</v>
      </c>
      <c r="O36">
        <f>VLOOKUP(M36,Table36[#All],3,FALSE)</f>
        <v>2E-3</v>
      </c>
      <c r="P36" s="1">
        <f t="shared" si="0"/>
        <v>5378.5660131465702</v>
      </c>
      <c r="Q36" s="1">
        <f t="shared" si="1"/>
        <v>32861.296383558918</v>
      </c>
      <c r="R36" s="1">
        <f t="shared" si="2"/>
        <v>514.28060496106013</v>
      </c>
      <c r="S36" s="1">
        <f>((Table47[[#This Row],[deviation]]/$C$2)*1000000000)/2</f>
        <v>3.3366416468926441E-3</v>
      </c>
    </row>
    <row r="37" spans="8:34" x14ac:dyDescent="0.25">
      <c r="H37" t="str">
        <f>averages!E50</f>
        <v>14a4</v>
      </c>
      <c r="I37">
        <f>averages!F50</f>
        <v>40246.508408006302</v>
      </c>
      <c r="J37">
        <f>averages!G50</f>
        <v>-85.75</v>
      </c>
      <c r="K37">
        <f>averages!H50</f>
        <v>-92.19</v>
      </c>
      <c r="L37">
        <f>averages!I50</f>
        <v>188.77048711902702</v>
      </c>
      <c r="M37">
        <f>averages!J50</f>
        <v>6</v>
      </c>
      <c r="N37" s="3">
        <f>SQRT(VLOOKUP(M37,Table36[#All],2,FALSE)^2 + VLOOKUP(H37,Table13[#All],2,FALSE)^2)</f>
        <v>34.566287579084914</v>
      </c>
      <c r="O37">
        <f>VLOOKUP(M37,Table36[#All],3,FALSE)</f>
        <v>0.05</v>
      </c>
      <c r="P37" s="1">
        <f t="shared" si="0"/>
        <v>7369.6498055229222</v>
      </c>
      <c r="Q37" s="1">
        <f t="shared" si="1"/>
        <v>32876.858602483378</v>
      </c>
      <c r="R37" s="1">
        <f t="shared" si="2"/>
        <v>514.52415431071427</v>
      </c>
      <c r="S37" s="1">
        <f>((Table47[[#This Row],[deviation]]/$C$2)*1000000000)/2</f>
        <v>8.3416041172316102E-2</v>
      </c>
      <c r="AG37" s="4"/>
      <c r="AH37" s="4"/>
    </row>
    <row r="38" spans="8:34" x14ac:dyDescent="0.25">
      <c r="H38" t="str">
        <f>averages!E58</f>
        <v>14a4</v>
      </c>
      <c r="I38">
        <f>averages!F58</f>
        <v>41606.559820107286</v>
      </c>
      <c r="J38">
        <f>averages!G58</f>
        <v>-89.28</v>
      </c>
      <c r="K38">
        <f>averages!H58</f>
        <v>-93.73</v>
      </c>
      <c r="L38">
        <f>averages!I58</f>
        <v>195.14961360042261</v>
      </c>
      <c r="M38">
        <f>averages!J58</f>
        <v>7</v>
      </c>
      <c r="N38" s="3">
        <f>SQRT(VLOOKUP(M38,Table36[#All],2,FALSE)^2 + VLOOKUP(H38,Table13[#All],2,FALSE)^2)</f>
        <v>40.788243710657603</v>
      </c>
      <c r="O38">
        <f>VLOOKUP(M38,Table36[#All],3,FALSE)</f>
        <v>0.05</v>
      </c>
      <c r="P38" s="1">
        <f t="shared" si="0"/>
        <v>8696.1919657160688</v>
      </c>
      <c r="Q38" s="1">
        <f t="shared" si="1"/>
        <v>32910.367854391217</v>
      </c>
      <c r="R38" s="1">
        <f t="shared" si="2"/>
        <v>515.04857544559013</v>
      </c>
      <c r="S38" s="1">
        <f>((Table47[[#This Row],[deviation]]/$C$2)*1000000000)/2</f>
        <v>8.3416041172316102E-2</v>
      </c>
      <c r="AF38" s="4"/>
    </row>
    <row r="39" spans="8:34" x14ac:dyDescent="0.25">
      <c r="H39" t="str">
        <f>averages!E66</f>
        <v>14a4</v>
      </c>
      <c r="I39">
        <f>averages!F66</f>
        <v>43576.040407549342</v>
      </c>
      <c r="J39">
        <f>averages!G66</f>
        <v>-90.46</v>
      </c>
      <c r="K39">
        <f>averages!H66</f>
        <v>-99.08</v>
      </c>
      <c r="L39">
        <f>averages!I66</f>
        <v>204.38718039985571</v>
      </c>
      <c r="M39">
        <f>averages!J66</f>
        <v>8</v>
      </c>
      <c r="N39" s="3">
        <f>SQRT(VLOOKUP(M39,Table36[#All],2,FALSE)^2 + VLOOKUP(H39,Table13[#All],2,FALSE)^2)</f>
        <v>49.890199247948487</v>
      </c>
      <c r="O39">
        <f>VLOOKUP(M39,Table36[#All],3,FALSE)</f>
        <v>0.1</v>
      </c>
      <c r="P39" s="1">
        <f t="shared" si="0"/>
        <v>10636.759771900184</v>
      </c>
      <c r="Q39" s="1">
        <f t="shared" si="1"/>
        <v>32939.280635649156</v>
      </c>
      <c r="R39" s="1">
        <f t="shared" si="2"/>
        <v>515.5010616306414</v>
      </c>
      <c r="S39" s="1">
        <f>((Table47[[#This Row],[deviation]]/$C$2)*1000000000)/2</f>
        <v>0.1668320823446322</v>
      </c>
    </row>
    <row r="40" spans="8:34" x14ac:dyDescent="0.25">
      <c r="H40" t="str">
        <f>averages!E74</f>
        <v>14a4</v>
      </c>
      <c r="I40">
        <f>averages!F74</f>
        <v>45296.447532294034</v>
      </c>
      <c r="J40">
        <f>averages!G74</f>
        <v>-92.29</v>
      </c>
      <c r="K40">
        <f>averages!H74</f>
        <v>-102.08</v>
      </c>
      <c r="L40">
        <f>averages!I74</f>
        <v>212.45650377292364</v>
      </c>
      <c r="M40">
        <f>averages!J74</f>
        <v>9</v>
      </c>
      <c r="N40" s="3">
        <f>SQRT(VLOOKUP(M40,Table36[#All],2,FALSE)^2 + VLOOKUP(H40,Table13[#All],2,FALSE)^2)</f>
        <v>57.868171778621111</v>
      </c>
      <c r="O40">
        <f>VLOOKUP(M40,Table36[#All],3,FALSE)</f>
        <v>0.1</v>
      </c>
      <c r="P40" s="1">
        <f t="shared" si="0"/>
        <v>12337.690587065705</v>
      </c>
      <c r="Q40" s="1">
        <f t="shared" si="1"/>
        <v>32958.756945228328</v>
      </c>
      <c r="R40" s="1">
        <f t="shared" si="2"/>
        <v>515.80586665585633</v>
      </c>
      <c r="S40" s="1">
        <f>((Table47[[#This Row],[deviation]]/$C$2)*1000000000)/2</f>
        <v>0.1668320823446322</v>
      </c>
    </row>
    <row r="41" spans="8:34" x14ac:dyDescent="0.25">
      <c r="H41" t="str">
        <f>averages!E11</f>
        <v>15a5</v>
      </c>
      <c r="I41">
        <f>averages!F11</f>
        <v>33085.884289482558</v>
      </c>
      <c r="J41">
        <f>averages!G11</f>
        <v>-80.680000000000007</v>
      </c>
      <c r="K41">
        <f>averages!H11</f>
        <v>-92.13</v>
      </c>
      <c r="L41">
        <f>averages!I11</f>
        <v>155.18460460651863</v>
      </c>
      <c r="M41">
        <f>averages!J11</f>
        <v>1</v>
      </c>
      <c r="N41" s="3">
        <f>SQRT(VLOOKUP(M41,Table36[#All],2,FALSE)^2 + VLOOKUP(H41,Table13[#All],2,FALSE)^2)</f>
        <v>1.3183445111199121</v>
      </c>
      <c r="O41">
        <f>VLOOKUP(M41,Table36[#All],3,FALSE)</f>
        <v>2E-3</v>
      </c>
      <c r="P41" s="1">
        <f t="shared" si="0"/>
        <v>281.07552330455621</v>
      </c>
      <c r="Q41" s="1">
        <f t="shared" si="1"/>
        <v>32804.808766178001</v>
      </c>
      <c r="R41" s="1">
        <f t="shared" si="2"/>
        <v>513.39657148592312</v>
      </c>
      <c r="S41" s="1">
        <f>((Table47[[#This Row],[deviation]]/$C$2)*1000000000)/2</f>
        <v>3.3366416468926441E-3</v>
      </c>
      <c r="U41" t="str">
        <f>Table47[[#This Row],[Name]]</f>
        <v>15a5</v>
      </c>
      <c r="V41" cm="1">
        <f t="array" ref="V41:W41">LINEST(R41:R49, J41:J49)</f>
        <v>-0.1622230631622501</v>
      </c>
      <c r="W41">
        <v>500.45823966172884</v>
      </c>
    </row>
    <row r="42" spans="8:34" x14ac:dyDescent="0.25">
      <c r="H42" t="str">
        <f>averages!E19</f>
        <v>15a5</v>
      </c>
      <c r="I42">
        <f>averages!F19</f>
        <v>33807.63762956336</v>
      </c>
      <c r="J42">
        <f>averages!G19</f>
        <v>-82.7</v>
      </c>
      <c r="K42">
        <f>averages!H19</f>
        <v>-91.68</v>
      </c>
      <c r="L42">
        <f>averages!I19</f>
        <v>158.56988534207019</v>
      </c>
      <c r="M42">
        <f>averages!J19</f>
        <v>2</v>
      </c>
      <c r="N42" s="3">
        <f>SQRT(VLOOKUP(M42,Table36[#All],2,FALSE)^2 + VLOOKUP(H42,Table13[#All],2,FALSE)^2)</f>
        <v>4.4302356878613125</v>
      </c>
      <c r="O42">
        <f>VLOOKUP(M42,Table36[#All],3,FALSE)</f>
        <v>2E-3</v>
      </c>
      <c r="P42" s="1">
        <f t="shared" si="0"/>
        <v>944.5412817552035</v>
      </c>
      <c r="Q42" s="1">
        <f t="shared" si="1"/>
        <v>32863.096347808154</v>
      </c>
      <c r="R42" s="1">
        <f t="shared" si="2"/>
        <v>514.30877447367459</v>
      </c>
      <c r="S42" s="1">
        <f>((Table47[[#This Row],[deviation]]/$C$2)*1000000000)/2</f>
        <v>3.3366416468926441E-3</v>
      </c>
      <c r="U42">
        <v>-80</v>
      </c>
      <c r="V42">
        <f>U42*$V$41+$W$41</f>
        <v>513.43608471470884</v>
      </c>
    </row>
    <row r="43" spans="8:34" x14ac:dyDescent="0.25">
      <c r="H43" t="str">
        <f>averages!E27</f>
        <v>15a5</v>
      </c>
      <c r="I43">
        <f>averages!F27</f>
        <v>34258.160541610043</v>
      </c>
      <c r="J43">
        <f>averages!G27</f>
        <v>-84.45</v>
      </c>
      <c r="K43">
        <f>averages!H27</f>
        <v>-91.77</v>
      </c>
      <c r="L43">
        <f>averages!I27</f>
        <v>160.68299857671832</v>
      </c>
      <c r="M43">
        <f>averages!J27</f>
        <v>3</v>
      </c>
      <c r="N43" s="3">
        <f>SQRT(VLOOKUP(M43,Table36[#All],2,FALSE)^2 + VLOOKUP(H43,Table13[#All],2,FALSE)^2)</f>
        <v>6.5951658053456095</v>
      </c>
      <c r="O43">
        <f>VLOOKUP(M43,Table36[#All],3,FALSE)</f>
        <v>2E-3</v>
      </c>
      <c r="P43" s="1">
        <f t="shared" si="0"/>
        <v>1406.1117290526058</v>
      </c>
      <c r="Q43" s="1">
        <f t="shared" si="1"/>
        <v>32852.048812557434</v>
      </c>
      <c r="R43" s="1">
        <f t="shared" si="2"/>
        <v>514.13588010439116</v>
      </c>
      <c r="S43" s="1">
        <f>((Table47[[#This Row],[deviation]]/$C$2)*1000000000)/2</f>
        <v>3.3366416468926441E-3</v>
      </c>
      <c r="U43">
        <v>-100</v>
      </c>
      <c r="V43">
        <f>U43*$V$41+$W$41</f>
        <v>516.6805459779539</v>
      </c>
    </row>
    <row r="44" spans="8:34" x14ac:dyDescent="0.25">
      <c r="H44" t="str">
        <f>averages!E35</f>
        <v>15a5</v>
      </c>
      <c r="I44">
        <f>averages!F35</f>
        <v>36202.381577861765</v>
      </c>
      <c r="J44">
        <f>averages!G35</f>
        <v>-87.3</v>
      </c>
      <c r="K44">
        <f>averages!H35</f>
        <v>-93.5</v>
      </c>
      <c r="L44">
        <f>averages!I35</f>
        <v>169.80208906674667</v>
      </c>
      <c r="M44">
        <f>averages!J35</f>
        <v>4</v>
      </c>
      <c r="N44" s="3">
        <f>SQRT(VLOOKUP(M44,Table36[#All],2,FALSE)^2 + VLOOKUP(H44,Table13[#All],2,FALSE)^2)</f>
        <v>15.52649516149733</v>
      </c>
      <c r="O44">
        <f>VLOOKUP(M44,Table36[#All],3,FALSE)</f>
        <v>2E-3</v>
      </c>
      <c r="P44" s="1">
        <f t="shared" si="0"/>
        <v>3310.3014544326315</v>
      </c>
      <c r="Q44" s="1">
        <f t="shared" si="1"/>
        <v>32892.080123429136</v>
      </c>
      <c r="R44" s="1">
        <f t="shared" si="2"/>
        <v>514.76237172335198</v>
      </c>
      <c r="S44" s="1">
        <f>((Table47[[#This Row],[deviation]]/$C$2)*1000000000)/2</f>
        <v>3.3366416468926441E-3</v>
      </c>
    </row>
    <row r="45" spans="8:34" x14ac:dyDescent="0.25">
      <c r="H45" t="str">
        <f>averages!E43</f>
        <v>15a5</v>
      </c>
      <c r="I45">
        <f>averages!F43</f>
        <v>38225.889428342234</v>
      </c>
      <c r="J45">
        <f>averages!G43</f>
        <v>-87.08</v>
      </c>
      <c r="K45">
        <f>averages!H43</f>
        <v>-104.77</v>
      </c>
      <c r="L45">
        <f>averages!I43</f>
        <v>179.29306301042388</v>
      </c>
      <c r="M45">
        <f>averages!J43</f>
        <v>5</v>
      </c>
      <c r="N45" s="3">
        <f>SQRT(VLOOKUP(M45,Table36[#All],2,FALSE)^2 + VLOOKUP(H45,Table13[#All],2,FALSE)^2)</f>
        <v>25.227304751003423</v>
      </c>
      <c r="O45">
        <f>VLOOKUP(M45,Table36[#All],3,FALSE)</f>
        <v>2E-3</v>
      </c>
      <c r="P45" s="1">
        <f t="shared" si="0"/>
        <v>5378.5469766383776</v>
      </c>
      <c r="Q45" s="1">
        <f t="shared" si="1"/>
        <v>32847.342451703858</v>
      </c>
      <c r="R45" s="1">
        <f t="shared" si="2"/>
        <v>514.06222536847667</v>
      </c>
      <c r="S45" s="1">
        <f>((Table47[[#This Row],[deviation]]/$C$2)*1000000000)/2</f>
        <v>3.3366416468926441E-3</v>
      </c>
    </row>
    <row r="46" spans="8:34" x14ac:dyDescent="0.25">
      <c r="H46" t="str">
        <f>averages!E51</f>
        <v>15a5</v>
      </c>
      <c r="I46">
        <f>averages!F51</f>
        <v>40280.466215079599</v>
      </c>
      <c r="J46">
        <f>averages!G51</f>
        <v>-88.69</v>
      </c>
      <c r="K46">
        <f>averages!H51</f>
        <v>-94.77</v>
      </c>
      <c r="L46">
        <f>averages!I51</f>
        <v>188.92976135265084</v>
      </c>
      <c r="M46">
        <f>averages!J51</f>
        <v>6</v>
      </c>
      <c r="N46" s="3">
        <f>SQRT(VLOOKUP(M46,Table36[#All],2,FALSE)^2 + VLOOKUP(H46,Table13[#All],2,FALSE)^2)</f>
        <v>34.566222414374415</v>
      </c>
      <c r="O46">
        <f>VLOOKUP(M46,Table36[#All],3,FALSE)</f>
        <v>0.05</v>
      </c>
      <c r="P46" s="1">
        <f t="shared" si="0"/>
        <v>7369.6359121855212</v>
      </c>
      <c r="Q46" s="1">
        <f t="shared" si="1"/>
        <v>32910.830302894079</v>
      </c>
      <c r="R46" s="1">
        <f t="shared" si="2"/>
        <v>515.05581278318743</v>
      </c>
      <c r="S46" s="1">
        <f>((Table47[[#This Row],[deviation]]/$C$2)*1000000000)/2</f>
        <v>8.3416041172316102E-2</v>
      </c>
    </row>
    <row r="47" spans="8:34" x14ac:dyDescent="0.25">
      <c r="H47" t="str">
        <f>averages!E59</f>
        <v>15a5</v>
      </c>
      <c r="I47">
        <f>averages!F59</f>
        <v>41594.836263574114</v>
      </c>
      <c r="J47">
        <f>averages!G59</f>
        <v>-90.5</v>
      </c>
      <c r="K47">
        <f>averages!H59</f>
        <v>-99.78</v>
      </c>
      <c r="L47">
        <f>averages!I59</f>
        <v>195.09462593652148</v>
      </c>
      <c r="M47">
        <f>averages!J59</f>
        <v>7</v>
      </c>
      <c r="N47" s="3">
        <f>SQRT(VLOOKUP(M47,Table36[#All],2,FALSE)^2 + VLOOKUP(H47,Table13[#All],2,FALSE)^2)</f>
        <v>40.788188486374331</v>
      </c>
      <c r="O47">
        <f>VLOOKUP(M47,Table36[#All],3,FALSE)</f>
        <v>0.05</v>
      </c>
      <c r="P47" s="1">
        <f t="shared" si="0"/>
        <v>8696.1801917114844</v>
      </c>
      <c r="Q47" s="1">
        <f t="shared" si="1"/>
        <v>32898.656071862628</v>
      </c>
      <c r="R47" s="1">
        <f t="shared" si="2"/>
        <v>514.86528557979557</v>
      </c>
      <c r="S47" s="1">
        <f>((Table47[[#This Row],[deviation]]/$C$2)*1000000000)/2</f>
        <v>8.3416041172316102E-2</v>
      </c>
    </row>
    <row r="48" spans="8:34" x14ac:dyDescent="0.25">
      <c r="H48" t="str">
        <f>averages!E67</f>
        <v>15a5</v>
      </c>
      <c r="I48">
        <f>averages!F67</f>
        <v>43617.057610709933</v>
      </c>
      <c r="J48">
        <f>averages!G67</f>
        <v>-95.24</v>
      </c>
      <c r="K48">
        <f>averages!H67</f>
        <v>-99.47</v>
      </c>
      <c r="L48">
        <f>averages!I67</f>
        <v>204.57956572040055</v>
      </c>
      <c r="M48">
        <f>averages!J67</f>
        <v>8</v>
      </c>
      <c r="N48" s="3">
        <f>SQRT(VLOOKUP(M48,Table36[#All],2,FALSE)^2 + VLOOKUP(H48,Table13[#All],2,FALSE)^2)</f>
        <v>49.890154098779846</v>
      </c>
      <c r="O48">
        <f>VLOOKUP(M48,Table36[#All],3,FALSE)</f>
        <v>0.1</v>
      </c>
      <c r="P48" s="1">
        <f t="shared" si="0"/>
        <v>10636.750145944226</v>
      </c>
      <c r="Q48" s="1">
        <f t="shared" si="1"/>
        <v>32980.307464765705</v>
      </c>
      <c r="R48" s="1">
        <f t="shared" si="2"/>
        <v>516.14313315001857</v>
      </c>
      <c r="S48" s="1">
        <f>((Table47[[#This Row],[deviation]]/$C$2)*1000000000)/2</f>
        <v>0.1668320823446322</v>
      </c>
    </row>
    <row r="49" spans="8:19" x14ac:dyDescent="0.25">
      <c r="H49" t="str">
        <f>averages!E75</f>
        <v>15a5</v>
      </c>
      <c r="I49">
        <f>averages!F75</f>
        <v>45304.98814959314</v>
      </c>
      <c r="J49">
        <f>averages!G75</f>
        <v>-95.76</v>
      </c>
      <c r="K49">
        <f>averages!H75</f>
        <v>-111.19</v>
      </c>
      <c r="L49">
        <f>averages!I75</f>
        <v>212.49656231592832</v>
      </c>
      <c r="M49">
        <f>averages!J75</f>
        <v>9</v>
      </c>
      <c r="N49" s="3">
        <f>SQRT(VLOOKUP(M49,Table36[#All],2,FALSE)^2 + VLOOKUP(H49,Table13[#All],2,FALSE)^2)</f>
        <v>57.868132853929197</v>
      </c>
      <c r="O49">
        <f>VLOOKUP(M49,Table36[#All],3,FALSE)</f>
        <v>0.1</v>
      </c>
      <c r="P49" s="1">
        <f t="shared" si="0"/>
        <v>12337.682288189306</v>
      </c>
      <c r="Q49" s="1">
        <f t="shared" si="1"/>
        <v>32967.305861403831</v>
      </c>
      <c r="R49" s="1">
        <f t="shared" si="2"/>
        <v>515.93965753650764</v>
      </c>
      <c r="S49" s="1">
        <f>((Table47[[#This Row],[deviation]]/$C$2)*1000000000)/2</f>
        <v>0.1668320823446322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41F3-9C57-4FD7-B067-43D6EBB824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1CA-F75B-485D-994E-9CE9319A9343}">
  <dimension ref="C2:J12"/>
  <sheetViews>
    <sheetView workbookViewId="0">
      <selection activeCell="G42" sqref="G42"/>
    </sheetView>
  </sheetViews>
  <sheetFormatPr defaultRowHeight="15" x14ac:dyDescent="0.25"/>
  <sheetData>
    <row r="2" spans="3:10" x14ac:dyDescent="0.25">
      <c r="C2" t="s">
        <v>3</v>
      </c>
    </row>
    <row r="3" spans="3:10" x14ac:dyDescent="0.25">
      <c r="D3" t="s">
        <v>29</v>
      </c>
      <c r="E3" t="s">
        <v>30</v>
      </c>
      <c r="F3" t="s">
        <v>25</v>
      </c>
      <c r="G3" t="s">
        <v>26</v>
      </c>
      <c r="H3" t="s">
        <v>27</v>
      </c>
      <c r="I3" t="s">
        <v>31</v>
      </c>
      <c r="J3" t="s">
        <v>28</v>
      </c>
    </row>
    <row r="4" spans="3:10" x14ac:dyDescent="0.25">
      <c r="D4">
        <v>-81.22</v>
      </c>
      <c r="E4">
        <v>-91.754999999999995</v>
      </c>
      <c r="F4">
        <v>33102.907098380922</v>
      </c>
      <c r="G4" s="1">
        <v>155.2644476551454</v>
      </c>
      <c r="H4" s="1">
        <v>1.3186300656363028</v>
      </c>
      <c r="I4">
        <v>2E-3</v>
      </c>
      <c r="J4" s="1">
        <v>513.66202633409421</v>
      </c>
    </row>
    <row r="5" spans="3:10" x14ac:dyDescent="0.25">
      <c r="D5">
        <v>-84.27000000000001</v>
      </c>
      <c r="E5">
        <v>-94.64500000000001</v>
      </c>
      <c r="F5">
        <v>33778.410789746253</v>
      </c>
      <c r="G5" s="1">
        <v>158.43280103320805</v>
      </c>
      <c r="H5" s="1">
        <v>4.4303206712381433</v>
      </c>
      <c r="I5">
        <v>2E-3</v>
      </c>
      <c r="J5" s="1">
        <v>513.85108970051544</v>
      </c>
    </row>
    <row r="6" spans="3:10" x14ac:dyDescent="0.25">
      <c r="D6">
        <v>-83.86</v>
      </c>
      <c r="E6">
        <v>-91.8</v>
      </c>
      <c r="F6">
        <v>34250.401499199077</v>
      </c>
      <c r="G6" s="1">
        <v>160.64660589885801</v>
      </c>
      <c r="H6" s="1">
        <v>6.5952228923668681</v>
      </c>
      <c r="I6">
        <v>2E-3</v>
      </c>
      <c r="J6" s="1">
        <v>514.01426030086805</v>
      </c>
    </row>
    <row r="7" spans="3:10" x14ac:dyDescent="0.25">
      <c r="D7">
        <v>-88.54</v>
      </c>
      <c r="E7">
        <v>-96.78</v>
      </c>
      <c r="F7">
        <v>36185.52835448923</v>
      </c>
      <c r="G7" s="1">
        <v>169.72304143475566</v>
      </c>
      <c r="H7" s="1">
        <v>15.526519410350796</v>
      </c>
      <c r="I7">
        <v>2E-3</v>
      </c>
      <c r="J7" s="1">
        <v>514.49853719262808</v>
      </c>
    </row>
    <row r="8" spans="3:10" x14ac:dyDescent="0.25">
      <c r="D8">
        <v>-84.484999999999999</v>
      </c>
      <c r="E8">
        <v>-91.68</v>
      </c>
      <c r="F8">
        <v>38225.029607678975</v>
      </c>
      <c r="G8" s="1">
        <v>179.28903014467085</v>
      </c>
      <c r="H8" s="1">
        <v>25.22731967530439</v>
      </c>
      <c r="I8">
        <v>2E-3</v>
      </c>
      <c r="J8" s="1">
        <v>514.04871934360449</v>
      </c>
    </row>
    <row r="9" spans="3:10" x14ac:dyDescent="0.25">
      <c r="D9">
        <v>-85.775000000000006</v>
      </c>
      <c r="E9">
        <v>-91.85</v>
      </c>
      <c r="F9">
        <v>40231.998070896429</v>
      </c>
      <c r="G9" s="1">
        <v>188.7024284597087</v>
      </c>
      <c r="H9" s="1">
        <v>34.566233306508828</v>
      </c>
      <c r="I9">
        <v>0.05</v>
      </c>
      <c r="J9" s="1">
        <v>514.29724804173873</v>
      </c>
    </row>
    <row r="10" spans="3:10" x14ac:dyDescent="0.25">
      <c r="D10">
        <v>-88.27</v>
      </c>
      <c r="E10">
        <v>-91.86</v>
      </c>
      <c r="F10">
        <v>41569.2646262091</v>
      </c>
      <c r="G10" s="1">
        <v>194.97468583158394</v>
      </c>
      <c r="H10" s="1">
        <v>40.788197716986708</v>
      </c>
      <c r="I10">
        <v>0.05</v>
      </c>
      <c r="J10" s="1">
        <v>514.46505763128278</v>
      </c>
    </row>
    <row r="11" spans="3:10" x14ac:dyDescent="0.25">
      <c r="D11">
        <v>-88.68</v>
      </c>
      <c r="E11">
        <v>-95.05</v>
      </c>
      <c r="F11">
        <v>43568.007763956128</v>
      </c>
      <c r="G11" s="1">
        <v>204.34950443481119</v>
      </c>
      <c r="H11" s="1">
        <v>49.890161645358496</v>
      </c>
      <c r="I11">
        <v>0.1</v>
      </c>
      <c r="J11" s="1">
        <v>515.3754759029548</v>
      </c>
    </row>
    <row r="12" spans="3:10" x14ac:dyDescent="0.25">
      <c r="D12">
        <v>-91.65</v>
      </c>
      <c r="E12">
        <v>-100.21</v>
      </c>
      <c r="F12">
        <v>45281.014258913201</v>
      </c>
      <c r="G12" s="1">
        <v>212.38411621312824</v>
      </c>
      <c r="H12" s="1">
        <v>57.868139360100393</v>
      </c>
      <c r="I12">
        <v>0.1</v>
      </c>
      <c r="J12" s="1">
        <v>515.56444347811248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C5816-7C67-436D-8EB7-525087DFB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averages</vt:lpstr>
      <vt:lpstr>again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 Jan Jiří (238513)</dc:creator>
  <cp:lastModifiedBy>Bauer Jan Jiří (238513)</cp:lastModifiedBy>
  <dcterms:created xsi:type="dcterms:W3CDTF">2024-04-29T15:36:38Z</dcterms:created>
  <dcterms:modified xsi:type="dcterms:W3CDTF">2024-05-19T19:22:47Z</dcterms:modified>
</cp:coreProperties>
</file>