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 tabRatio="596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 l="1"/>
  <c r="C6" i="2"/>
  <c r="C4" i="2"/>
  <c r="C3" i="2"/>
  <c r="H16" i="2" l="1"/>
  <c r="C8" i="2"/>
  <c r="C7" i="2"/>
  <c r="C9" i="2"/>
  <c r="H17" i="2" s="1"/>
  <c r="H7" i="2" l="1"/>
  <c r="C11" i="2" l="1"/>
  <c r="H18" i="2" l="1"/>
  <c r="H19" i="2" s="1"/>
  <c r="H32" i="2" l="1"/>
  <c r="H31" i="2"/>
  <c r="H20" i="2"/>
  <c r="H30" i="2" s="1"/>
  <c r="H11" i="2"/>
  <c r="H10" i="2"/>
  <c r="H14" i="2"/>
  <c r="H29" i="2" s="1"/>
  <c r="H9" i="2"/>
  <c r="H12" i="2" l="1"/>
  <c r="H13" i="2" s="1"/>
  <c r="H28" i="2" s="1"/>
  <c r="H21" i="2" l="1"/>
  <c r="F30" i="2"/>
  <c r="F29" i="2"/>
  <c r="F28" i="2"/>
  <c r="H23" i="2" l="1"/>
</calcChain>
</file>

<file path=xl/sharedStrings.xml><?xml version="1.0" encoding="utf-8"?>
<sst xmlns="http://schemas.openxmlformats.org/spreadsheetml/2006/main" count="80" uniqueCount="56">
  <si>
    <t>Faste driftskostnader</t>
  </si>
  <si>
    <t>%</t>
  </si>
  <si>
    <t>øre/kWh</t>
  </si>
  <si>
    <t>Enhet</t>
  </si>
  <si>
    <t>Ytelse</t>
  </si>
  <si>
    <t xml:space="preserve">Fullasttimer </t>
  </si>
  <si>
    <t>timer/år</t>
  </si>
  <si>
    <t>Investeringskostnader</t>
  </si>
  <si>
    <t>Byggekostnader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</si>
  <si>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</si>
  <si>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</si>
  <si>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</si>
  <si>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</si>
  <si>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NOx-avgift</t>
  </si>
  <si>
    <t>Brensels- og utslippskostnader</t>
  </si>
  <si>
    <t>Variable kostnader eks brensel</t>
  </si>
  <si>
    <t>Nåverdier</t>
  </si>
  <si>
    <t>øre</t>
  </si>
  <si>
    <t>Produsert varme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</si>
  <si>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</si>
  <si>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</si>
  <si>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</si>
  <si>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</si>
  <si>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</si>
  <si>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</si>
  <si>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</si>
  <si>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</si>
  <si>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</si>
  <si>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prosent/år</t>
  </si>
  <si>
    <t>enhet</t>
  </si>
  <si>
    <t>Diskonteringsrente</t>
  </si>
  <si>
    <t>kWh/kg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</si>
  <si>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</si>
  <si>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</si>
  <si>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</si>
  <si>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Avfallskjel - rivningsvirke</t>
  </si>
  <si>
    <t>faktor</t>
  </si>
  <si>
    <t>Inflasjon 2013-2016</t>
  </si>
  <si>
    <t>Kjel</t>
  </si>
  <si>
    <r>
      <t>kWh</t>
    </r>
    <r>
      <rPr>
        <sz val="8"/>
        <rFont val="Calibri"/>
        <family val="2"/>
        <scheme val="minor"/>
      </rPr>
      <t>brensel</t>
    </r>
    <r>
      <rPr>
        <sz val="10"/>
        <rFont val="Calibri"/>
        <family val="2"/>
        <scheme val="minor"/>
      </rPr>
      <t>/kWh</t>
    </r>
  </si>
  <si>
    <t>Brenselspris</t>
  </si>
  <si>
    <r>
      <rPr>
        <sz val="11"/>
        <rFont val="Calibri"/>
        <family val="2"/>
        <scheme val="minor"/>
      </rPr>
      <t>øre/kWh</t>
    </r>
    <r>
      <rPr>
        <sz val="8"/>
        <rFont val="Calibri"/>
        <family val="2"/>
        <scheme val="minor"/>
      </rPr>
      <t>brensel</t>
    </r>
  </si>
  <si>
    <r>
      <t>øre/kWh</t>
    </r>
    <r>
      <rPr>
        <sz val="8"/>
        <rFont val="Calibri"/>
        <family val="2"/>
        <scheme val="minor"/>
      </rPr>
      <t>brensel</t>
    </r>
  </si>
  <si>
    <t>Sum brensels- og utslippskostnader</t>
  </si>
  <si>
    <t>øre/kWhbrensel</t>
  </si>
  <si>
    <t>Energiinhold (effektiv brennverdi)</t>
  </si>
  <si>
    <t>Energiinhold (øvre brennverdi)</t>
  </si>
  <si>
    <t>Returflis (25 % fukt)</t>
  </si>
  <si>
    <t>Virkningsgrad (effektiv brennverdi)</t>
  </si>
  <si>
    <t>Virkningsgrad  (øvre brennverdi)</t>
  </si>
  <si>
    <t>Degraderingsrate</t>
  </si>
  <si>
    <t>kWh</t>
  </si>
  <si>
    <t>Erfaringstall fra Norconsult og Calambio</t>
  </si>
  <si>
    <t>Dette er momentan virkningsgrad, årsvirkningsgrad er 5-15% lavere</t>
  </si>
  <si>
    <t xml:space="preserve">Avfallsforbrenning er moden teknologi med liten potensial for reduksjon i investeringskostnader. Det er antatt samme brenselspris/mottasgebyr her. </t>
  </si>
  <si>
    <r>
      <t xml:space="preserve">Justert opp fra </t>
    </r>
    <r>
      <rPr>
        <i/>
        <sz val="10"/>
        <color theme="1"/>
        <rFont val="Calibri"/>
        <family val="2"/>
        <scheme val="minor"/>
      </rPr>
      <t xml:space="preserve">Kostnader i energisektoren 2015 </t>
    </r>
    <r>
      <rPr>
        <sz val="10"/>
        <color theme="1"/>
        <rFont val="Calibri"/>
        <family val="2"/>
        <scheme val="minor"/>
      </rPr>
      <t>vha infasjonsindeks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</si>
</sst>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0.000"/>
    <numFmt numFmtId="168" formatCode="#,##0.0"/>
    <numFmt numFmtId="169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1">
    <xf numFmtId="0" fontId="0" fillId="0" borderId="0" xfId="0"/>
    <xf numFmtId="164" fontId="6" fillId="0" borderId="8" xfId="1" applyFont="1" applyFill="1" applyBorder="1"/>
    <xf numFmtId="164" fontId="6" fillId="0" borderId="1" xfId="1" applyFont="1" applyFill="1" applyBorder="1"/>
    <xf numFmtId="164" fontId="6" fillId="0" borderId="11" xfId="1" applyFont="1" applyFill="1" applyBorder="1" applyAlignment="1">
      <alignment horizontal="right"/>
    </xf>
    <xf numFmtId="164" fontId="4" fillId="0" borderId="1" xfId="1" applyFont="1" applyFill="1" applyBorder="1" applyAlignment="1">
      <alignment horizontal="left" indent="1"/>
    </xf>
    <xf numFmtId="164" fontId="4" fillId="0" borderId="11" xfId="1" applyFont="1" applyFill="1" applyBorder="1" applyAlignment="1">
      <alignment horizontal="right"/>
    </xf>
    <xf numFmtId="164" fontId="4" fillId="0" borderId="1" xfId="1" applyFont="1" applyFill="1" applyBorder="1"/>
    <xf numFmtId="164" fontId="4" fillId="0" borderId="9" xfId="1" applyFont="1" applyFill="1" applyBorder="1" applyAlignment="1">
      <alignment horizontal="right"/>
    </xf>
    <xf numFmtId="164" fontId="4" fillId="0" borderId="14" xfId="1" applyFont="1" applyFill="1" applyBorder="1" applyAlignment="1">
      <alignment horizontal="right"/>
    </xf>
    <xf numFmtId="164" fontId="6" fillId="0" borderId="16" xfId="1" applyFont="1" applyFill="1" applyBorder="1"/>
    <xf numFmtId="164" fontId="6" fillId="0" borderId="17" xfId="1" applyFont="1" applyFill="1" applyBorder="1" applyAlignment="1">
      <alignment horizontal="right"/>
    </xf>
    <xf numFmtId="0" fontId="4" fillId="0" borderId="0" xfId="0" applyFont="1"/>
    <xf numFmtId="164" fontId="8" fillId="0" borderId="0" xfId="1" applyFont="1" applyFill="1" applyBorder="1"/>
    <xf numFmtId="164" fontId="8" fillId="0" borderId="0" xfId="1" applyFont="1" applyFill="1" applyBorder="1" applyAlignment="1">
      <alignment horizontal="right"/>
    </xf>
    <xf numFmtId="165" fontId="8" fillId="0" borderId="0" xfId="1" applyNumberFormat="1" applyFont="1" applyFill="1" applyBorder="1"/>
    <xf numFmtId="164" fontId="4" fillId="0" borderId="18" xfId="0" applyNumberFormat="1" applyFont="1" applyBorder="1"/>
    <xf numFmtId="0" fontId="4" fillId="0" borderId="5" xfId="0" applyFont="1" applyBorder="1" applyAlignment="1">
      <alignment horizontal="right"/>
    </xf>
    <xf numFmtId="164" fontId="4" fillId="0" borderId="13" xfId="0" applyNumberFormat="1" applyFont="1" applyBorder="1"/>
    <xf numFmtId="0" fontId="4" fillId="0" borderId="11" xfId="0" applyFont="1" applyBorder="1" applyAlignment="1">
      <alignment horizontal="right"/>
    </xf>
    <xf numFmtId="0" fontId="4" fillId="0" borderId="0" xfId="0" applyFont="1" applyBorder="1"/>
    <xf numFmtId="0" fontId="5" fillId="2" borderId="20" xfId="0" applyFont="1" applyFill="1" applyBorder="1"/>
    <xf numFmtId="0" fontId="5" fillId="2" borderId="21" xfId="0" applyFont="1" applyFill="1" applyBorder="1"/>
    <xf numFmtId="2" fontId="4" fillId="0" borderId="0" xfId="0" applyNumberFormat="1" applyFont="1"/>
    <xf numFmtId="0" fontId="2" fillId="0" borderId="0" xfId="0" applyFont="1" applyBorder="1"/>
    <xf numFmtId="164" fontId="5" fillId="3" borderId="1" xfId="1" applyFont="1" applyFill="1" applyBorder="1"/>
    <xf numFmtId="164" fontId="5" fillId="3" borderId="5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0" fontId="2" fillId="0" borderId="0" xfId="0" applyFont="1"/>
    <xf numFmtId="2" fontId="2" fillId="0" borderId="0" xfId="0" applyNumberFormat="1" applyFont="1"/>
    <xf numFmtId="164" fontId="4" fillId="4" borderId="11" xfId="1" applyFont="1" applyFill="1" applyBorder="1" applyAlignment="1">
      <alignment horizontal="right"/>
    </xf>
    <xf numFmtId="164" fontId="4" fillId="4" borderId="12" xfId="1" applyFont="1" applyFill="1" applyBorder="1" applyAlignment="1">
      <alignment horizontal="left" indent="1"/>
    </xf>
    <xf numFmtId="167" fontId="4" fillId="0" borderId="0" xfId="0" applyNumberFormat="1" applyFont="1" applyAlignment="1">
      <alignment horizontal="right"/>
    </xf>
    <xf numFmtId="164" fontId="6" fillId="0" borderId="0" xfId="1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4" fillId="0" borderId="19" xfId="0" applyNumberFormat="1" applyFont="1" applyBorder="1"/>
    <xf numFmtId="0" fontId="4" fillId="0" borderId="14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164" fontId="5" fillId="3" borderId="11" xfId="1" applyFont="1" applyFill="1" applyBorder="1" applyAlignment="1">
      <alignment horizontal="right"/>
    </xf>
    <xf numFmtId="0" fontId="0" fillId="0" borderId="5" xfId="0" applyBorder="1"/>
    <xf numFmtId="164" fontId="6" fillId="0" borderId="26" xfId="1" applyFont="1" applyFill="1" applyBorder="1"/>
    <xf numFmtId="3" fontId="0" fillId="0" borderId="0" xfId="0" applyNumberFormat="1"/>
    <xf numFmtId="164" fontId="5" fillId="3" borderId="24" xfId="1" applyFont="1" applyFill="1" applyBorder="1" applyAlignment="1">
      <alignment horizontal="right" wrapText="1"/>
    </xf>
    <xf numFmtId="164" fontId="5" fillId="3" borderId="7" xfId="1" applyFont="1" applyFill="1" applyBorder="1" applyAlignment="1">
      <alignment horizontal="right"/>
    </xf>
    <xf numFmtId="3" fontId="12" fillId="0" borderId="0" xfId="0" applyNumberFormat="1" applyFont="1" applyFill="1" applyBorder="1"/>
    <xf numFmtId="3" fontId="12" fillId="0" borderId="0" xfId="2" applyNumberFormat="1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3" fontId="4" fillId="0" borderId="10" xfId="1" applyNumberFormat="1" applyFont="1" applyFill="1" applyBorder="1"/>
    <xf numFmtId="9" fontId="4" fillId="0" borderId="10" xfId="1" applyNumberFormat="1" applyFont="1" applyFill="1" applyBorder="1"/>
    <xf numFmtId="164" fontId="6" fillId="0" borderId="7" xfId="1" applyFont="1" applyFill="1" applyBorder="1"/>
    <xf numFmtId="3" fontId="4" fillId="4" borderId="25" xfId="0" applyNumberFormat="1" applyFont="1" applyFill="1" applyBorder="1"/>
    <xf numFmtId="3" fontId="4" fillId="0" borderId="7" xfId="1" applyNumberFormat="1" applyFont="1" applyFill="1" applyBorder="1"/>
    <xf numFmtId="3" fontId="4" fillId="0" borderId="22" xfId="2" applyNumberFormat="1" applyFont="1" applyFill="1" applyBorder="1"/>
    <xf numFmtId="0" fontId="0" fillId="0" borderId="7" xfId="0" applyFill="1" applyBorder="1"/>
    <xf numFmtId="2" fontId="4" fillId="0" borderId="7" xfId="2" applyNumberFormat="1" applyFont="1" applyFill="1" applyBorder="1"/>
    <xf numFmtId="165" fontId="4" fillId="0" borderId="7" xfId="1" applyNumberFormat="1" applyFont="1" applyFill="1" applyBorder="1"/>
    <xf numFmtId="169" fontId="4" fillId="0" borderId="7" xfId="1" applyNumberFormat="1" applyFont="1" applyFill="1" applyBorder="1"/>
    <xf numFmtId="165" fontId="4" fillId="0" borderId="22" xfId="2" applyNumberFormat="1" applyFont="1" applyFill="1" applyBorder="1"/>
    <xf numFmtId="168" fontId="4" fillId="0" borderId="7" xfId="1" applyNumberFormat="1" applyFont="1" applyFill="1" applyBorder="1"/>
    <xf numFmtId="165" fontId="6" fillId="0" borderId="23" xfId="0" applyNumberFormat="1" applyFont="1" applyFill="1" applyBorder="1"/>
    <xf numFmtId="4" fontId="4" fillId="0" borderId="7" xfId="1" applyNumberFormat="1" applyFont="1" applyFill="1" applyBorder="1"/>
    <xf numFmtId="0" fontId="2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3" fontId="12" fillId="0" borderId="27" xfId="0" applyNumberFormat="1" applyFont="1" applyBorder="1"/>
    <xf numFmtId="3" fontId="12" fillId="0" borderId="6" xfId="0" applyNumberFormat="1" applyFont="1" applyBorder="1"/>
    <xf numFmtId="3" fontId="4" fillId="0" borderId="15" xfId="0" applyNumberFormat="1" applyFont="1" applyBorder="1"/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</cellXfs>
  <cellStyles count="4"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28">
          <cell r="D28">
            <v>4.28</v>
          </cell>
          <cell r="F28">
            <v>3.5</v>
          </cell>
        </row>
        <row r="47">
          <cell r="D47">
            <v>1.4285714285714286</v>
          </cell>
        </row>
      </sheetData>
      <sheetData sheetId="1"/>
      <sheetData sheetId="2"/>
      <sheetData sheetId="3">
        <row r="1">
          <cell r="C1">
            <v>1.07973174366617</v>
          </cell>
        </row>
        <row r="22">
          <cell r="C22">
            <v>3</v>
          </cell>
        </row>
        <row r="47">
          <cell r="C47">
            <v>20</v>
          </cell>
          <cell r="D47">
            <v>0.06</v>
          </cell>
          <cell r="E47">
            <v>1E-3</v>
          </cell>
        </row>
      </sheetData>
      <sheetData sheetId="4">
        <row r="16">
          <cell r="H16">
            <v>0.53418556701030917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" workbookViewId="0">
      <selection activeCell="D18" sqref="D18"/>
    </sheetView>
  </sheetViews>
  <sheetFormatPr baseColWidth="10" defaultRowHeight="15" x14ac:dyDescent="0.25"/>
  <cols>
    <col min="1" max="1" width="16.85546875" customWidth="1"/>
    <col min="6" max="6" width="34.140625" customWidth="1"/>
    <col min="7" max="7" width="15" customWidth="1"/>
    <col min="8" max="8" width="18.85546875" customWidth="1"/>
    <col min="9" max="9" width="24.42578125" style="31" customWidth="1"/>
    <col min="10" max="10" width="32.28515625" style="31" customWidth="1"/>
  </cols>
  <sheetData>
    <row r="1" spans="1:10" ht="15.75" thickBot="1" x14ac:dyDescent="0.3"/>
    <row r="2" spans="1:10" x14ac:dyDescent="0.25">
      <c r="A2" s="20"/>
      <c r="B2" s="20" t="s">
        <v>29</v>
      </c>
      <c r="C2" s="21"/>
      <c r="D2" s="28"/>
      <c r="F2" s="54" t="s">
        <v>35</v>
      </c>
      <c r="G2" s="55"/>
      <c r="H2" s="56"/>
      <c r="I2" s="71"/>
      <c r="J2" s="71"/>
    </row>
    <row r="3" spans="1:10" x14ac:dyDescent="0.25">
      <c r="A3" s="20" t="s">
        <v>25</v>
      </c>
      <c r="B3" s="31" t="s">
        <v>24</v>
      </c>
      <c r="C3" s="31">
        <f>'[1]byggetid levetid rente'!$C$22</f>
        <v>3</v>
      </c>
      <c r="E3" s="23"/>
      <c r="F3" s="24"/>
      <c r="G3" s="25" t="s">
        <v>3</v>
      </c>
      <c r="H3" s="50" t="s">
        <v>47</v>
      </c>
      <c r="I3" s="71"/>
      <c r="J3" s="71"/>
    </row>
    <row r="4" spans="1:10" x14ac:dyDescent="0.25">
      <c r="A4" s="20" t="s">
        <v>26</v>
      </c>
      <c r="B4" s="31" t="s">
        <v>24</v>
      </c>
      <c r="C4" s="23">
        <f>'[1]byggetid levetid rente'!$C$47</f>
        <v>20</v>
      </c>
      <c r="E4" s="23"/>
      <c r="F4" s="24" t="s">
        <v>4</v>
      </c>
      <c r="G4" s="46" t="s">
        <v>32</v>
      </c>
      <c r="H4" s="51">
        <v>15</v>
      </c>
      <c r="I4" s="30" t="s">
        <v>20</v>
      </c>
      <c r="J4" s="30" t="s">
        <v>19</v>
      </c>
    </row>
    <row r="5" spans="1:10" ht="39" x14ac:dyDescent="0.25">
      <c r="A5" s="20" t="s">
        <v>30</v>
      </c>
      <c r="B5" s="31" t="s">
        <v>28</v>
      </c>
      <c r="C5" s="29">
        <f>'[1]byggetid levetid rente'!$D$47</f>
        <v>0.06</v>
      </c>
      <c r="E5" s="23"/>
      <c r="F5" s="1" t="s">
        <v>5</v>
      </c>
      <c r="G5" s="7" t="s">
        <v>6</v>
      </c>
      <c r="H5" s="57">
        <v>6700</v>
      </c>
      <c r="I5" s="72" t="s">
        <v>52</v>
      </c>
      <c r="J5" s="72" t="s">
        <v>55</v>
      </c>
    </row>
    <row r="6" spans="1:10" ht="26.25" x14ac:dyDescent="0.25">
      <c r="A6" s="20" t="s">
        <v>50</v>
      </c>
      <c r="B6" s="31" t="s">
        <v>28</v>
      </c>
      <c r="C6" s="29">
        <f>'[1]byggetid levetid rente'!$E$47</f>
        <v>1E-3</v>
      </c>
      <c r="E6" s="11"/>
      <c r="F6" s="1" t="s">
        <v>48</v>
      </c>
      <c r="G6" s="7" t="s">
        <v>1</v>
      </c>
      <c r="H6" s="58">
        <v>0.88</v>
      </c>
      <c r="I6" s="72" t="s">
        <v>52</v>
      </c>
      <c r="J6" s="72" t="s">
        <v>53</v>
      </c>
    </row>
    <row r="7" spans="1:10" x14ac:dyDescent="0.25">
      <c r="A7" s="20" t="s">
        <v>45</v>
      </c>
      <c r="B7" s="11" t="s">
        <v>31</v>
      </c>
      <c r="C7" s="27">
        <f>'[1]Brennverdier og priser'!$F$28</f>
        <v>3.5</v>
      </c>
      <c r="D7" s="11"/>
      <c r="E7" s="11"/>
      <c r="F7" s="1" t="s">
        <v>49</v>
      </c>
      <c r="G7" s="7" t="s">
        <v>1</v>
      </c>
      <c r="H7" s="58">
        <f>H6/C8*C7</f>
        <v>0.71962616822429903</v>
      </c>
    </row>
    <row r="8" spans="1:10" x14ac:dyDescent="0.25">
      <c r="A8" s="20" t="s">
        <v>46</v>
      </c>
      <c r="B8" s="11" t="s">
        <v>31</v>
      </c>
      <c r="C8" s="32">
        <f>'[1]Brennverdier og priser'!$D$28</f>
        <v>4.28</v>
      </c>
      <c r="E8" s="11"/>
      <c r="F8" s="2" t="s">
        <v>7</v>
      </c>
      <c r="G8" s="3"/>
      <c r="H8" s="59"/>
      <c r="I8" s="78" t="s">
        <v>52</v>
      </c>
      <c r="J8" s="78" t="s">
        <v>55</v>
      </c>
    </row>
    <row r="9" spans="1:10" x14ac:dyDescent="0.25">
      <c r="A9" s="20" t="s">
        <v>27</v>
      </c>
      <c r="B9" s="11" t="s">
        <v>44</v>
      </c>
      <c r="C9" s="27">
        <f>'[1]Brennverdier og priser'!$D$47</f>
        <v>1.4285714285714286</v>
      </c>
      <c r="E9" s="11"/>
      <c r="F9" s="34" t="s">
        <v>38</v>
      </c>
      <c r="G9" s="33" t="s">
        <v>33</v>
      </c>
      <c r="H9" s="60">
        <f>12000*$C$10</f>
        <v>12956.78092399404</v>
      </c>
      <c r="I9" s="78"/>
      <c r="J9" s="78"/>
    </row>
    <row r="10" spans="1:10" x14ac:dyDescent="0.25">
      <c r="A10" s="20" t="s">
        <v>37</v>
      </c>
      <c r="B10" s="11" t="s">
        <v>36</v>
      </c>
      <c r="C10" s="32">
        <f>'[1]byggetid levetid rente'!$C$1</f>
        <v>1.07973174366617</v>
      </c>
      <c r="D10" s="11"/>
      <c r="E10" s="11"/>
      <c r="F10" s="34" t="s">
        <v>8</v>
      </c>
      <c r="G10" s="33" t="s">
        <v>33</v>
      </c>
      <c r="H10" s="60">
        <f>3700*$C$10</f>
        <v>3995.0074515648289</v>
      </c>
      <c r="I10" s="78"/>
      <c r="J10" s="78"/>
    </row>
    <row r="11" spans="1:10" x14ac:dyDescent="0.25">
      <c r="A11" s="20" t="s">
        <v>13</v>
      </c>
      <c r="B11" s="11" t="s">
        <v>44</v>
      </c>
      <c r="C11" s="35">
        <f>'[1]NOX avgift'!$H$16</f>
        <v>0.53418556701030917</v>
      </c>
      <c r="E11" s="22"/>
      <c r="F11" s="34" t="s">
        <v>9</v>
      </c>
      <c r="G11" s="33" t="s">
        <v>33</v>
      </c>
      <c r="H11" s="60">
        <f>2800*$C$10</f>
        <v>3023.2488822652758</v>
      </c>
      <c r="I11" s="78"/>
      <c r="J11" s="78"/>
    </row>
    <row r="12" spans="1:10" x14ac:dyDescent="0.25">
      <c r="B12" s="11"/>
      <c r="C12" s="11"/>
      <c r="D12" s="22"/>
      <c r="E12" s="22"/>
      <c r="F12" s="6" t="s">
        <v>10</v>
      </c>
      <c r="G12" s="5" t="s">
        <v>33</v>
      </c>
      <c r="H12" s="61">
        <f>SUM(H9:H11)*(((1+(C5))*((1+C5)^(C3)-1))/(C5*C3))-SUM(H9:H11)</f>
        <v>2494.3228524590522</v>
      </c>
    </row>
    <row r="13" spans="1:10" x14ac:dyDescent="0.25">
      <c r="D13" s="22"/>
      <c r="E13" s="22"/>
      <c r="F13" s="48" t="s">
        <v>11</v>
      </c>
      <c r="G13" s="8" t="s">
        <v>33</v>
      </c>
      <c r="H13" s="62">
        <f>SUM(H9:H12)</f>
        <v>22469.360110283196</v>
      </c>
      <c r="J13" s="53"/>
    </row>
    <row r="14" spans="1:10" ht="39" x14ac:dyDescent="0.25">
      <c r="F14" s="1" t="s">
        <v>0</v>
      </c>
      <c r="G14" s="7" t="s">
        <v>34</v>
      </c>
      <c r="H14" s="57">
        <f>800*$C$10</f>
        <v>863.78539493293601</v>
      </c>
      <c r="I14" s="72" t="s">
        <v>52</v>
      </c>
      <c r="J14" s="72" t="s">
        <v>55</v>
      </c>
    </row>
    <row r="15" spans="1:10" x14ac:dyDescent="0.25">
      <c r="F15" s="2" t="s">
        <v>14</v>
      </c>
      <c r="G15" s="47"/>
      <c r="H15" s="63"/>
    </row>
    <row r="16" spans="1:10" x14ac:dyDescent="0.25">
      <c r="F16" s="4" t="s">
        <v>12</v>
      </c>
      <c r="G16" s="5" t="s">
        <v>39</v>
      </c>
      <c r="H16" s="64">
        <f>1/H6</f>
        <v>1.1363636363636365</v>
      </c>
    </row>
    <row r="17" spans="2:10" x14ac:dyDescent="0.25">
      <c r="F17" s="4" t="s">
        <v>40</v>
      </c>
      <c r="G17" s="18" t="s">
        <v>41</v>
      </c>
      <c r="H17" s="65">
        <f>C9</f>
        <v>1.4285714285714286</v>
      </c>
    </row>
    <row r="18" spans="2:10" x14ac:dyDescent="0.25">
      <c r="F18" s="4" t="s">
        <v>13</v>
      </c>
      <c r="G18" s="45" t="s">
        <v>42</v>
      </c>
      <c r="H18" s="66">
        <f>$C$11</f>
        <v>0.53418556701030917</v>
      </c>
    </row>
    <row r="19" spans="2:10" x14ac:dyDescent="0.25">
      <c r="F19" s="2" t="s">
        <v>43</v>
      </c>
      <c r="G19" s="8" t="s">
        <v>2</v>
      </c>
      <c r="H19" s="67">
        <f t="shared" ref="H19" si="0">(H17+H18)*H16</f>
        <v>2.2304056767974294</v>
      </c>
    </row>
    <row r="20" spans="2:10" ht="39" x14ac:dyDescent="0.25">
      <c r="B20" s="49"/>
      <c r="F20" s="1" t="s">
        <v>15</v>
      </c>
      <c r="G20" s="7" t="s">
        <v>2</v>
      </c>
      <c r="H20" s="68">
        <f>7.5*$C$10</f>
        <v>8.0979880774962751</v>
      </c>
      <c r="I20" s="72" t="s">
        <v>52</v>
      </c>
      <c r="J20" s="72" t="s">
        <v>55</v>
      </c>
    </row>
    <row r="21" spans="2:10" ht="15.75" thickBot="1" x14ac:dyDescent="0.3">
      <c r="F21" s="9" t="s">
        <v>22</v>
      </c>
      <c r="G21" s="10" t="s">
        <v>2</v>
      </c>
      <c r="H21" s="69">
        <f t="shared" ref="H21" si="1">SUM(H28:H31)/H32</f>
        <v>58.677748170878445</v>
      </c>
    </row>
    <row r="22" spans="2:10" ht="53.25" customHeight="1" x14ac:dyDescent="0.25">
      <c r="F22" s="2" t="s">
        <v>21</v>
      </c>
      <c r="G22" s="3"/>
      <c r="H22" s="70">
        <v>0.96</v>
      </c>
      <c r="I22" s="79" t="s">
        <v>54</v>
      </c>
      <c r="J22" s="80"/>
    </row>
    <row r="23" spans="2:10" ht="15.75" thickBot="1" x14ac:dyDescent="0.3">
      <c r="F23" s="9" t="s">
        <v>23</v>
      </c>
      <c r="G23" s="10" t="s">
        <v>2</v>
      </c>
      <c r="H23" s="69">
        <f t="shared" ref="H23" si="2">H21*H22</f>
        <v>56.330638244043307</v>
      </c>
    </row>
    <row r="24" spans="2:10" x14ac:dyDescent="0.25">
      <c r="H24" s="14"/>
    </row>
    <row r="25" spans="2:10" x14ac:dyDescent="0.25">
      <c r="F25" s="12"/>
      <c r="G25" s="13"/>
      <c r="H25" s="14"/>
    </row>
    <row r="26" spans="2:10" x14ac:dyDescent="0.25">
      <c r="F26" s="11"/>
      <c r="G26" s="11"/>
      <c r="H26" s="11"/>
    </row>
    <row r="27" spans="2:10" x14ac:dyDescent="0.25">
      <c r="F27" s="36" t="s">
        <v>16</v>
      </c>
      <c r="G27" s="37"/>
      <c r="H27" s="38"/>
    </row>
    <row r="28" spans="2:10" x14ac:dyDescent="0.25">
      <c r="F28" s="15" t="str">
        <f>F8</f>
        <v>Investeringskostnader</v>
      </c>
      <c r="G28" s="16" t="s">
        <v>17</v>
      </c>
      <c r="H28" s="75">
        <f>H13*100*1000*H4</f>
        <v>33704040165.424789</v>
      </c>
    </row>
    <row r="29" spans="2:10" x14ac:dyDescent="0.25">
      <c r="F29" s="17" t="str">
        <f>F14</f>
        <v>Faste driftskostnader</v>
      </c>
      <c r="G29" s="18" t="s">
        <v>17</v>
      </c>
      <c r="H29" s="76">
        <f>-PV($C$5,$C$4,H14*100*1000*H4)</f>
        <v>14861325644.442087</v>
      </c>
    </row>
    <row r="30" spans="2:10" x14ac:dyDescent="0.25">
      <c r="F30" s="17" t="str">
        <f>F20</f>
        <v>Variable kostnader eks brensel</v>
      </c>
      <c r="G30" s="18" t="s">
        <v>17</v>
      </c>
      <c r="H30" s="76">
        <f>-PV($C$5,$C$4,H6*H20*1000*H4*H5)</f>
        <v>8214597749.9653645</v>
      </c>
      <c r="J30" s="52"/>
    </row>
    <row r="31" spans="2:10" x14ac:dyDescent="0.25">
      <c r="F31" s="17" t="s">
        <v>14</v>
      </c>
      <c r="G31" s="18" t="s">
        <v>17</v>
      </c>
      <c r="H31" s="76">
        <f>-PV($C$5,$C$4,H19*1000*H4*H5*H6)</f>
        <v>2262523145.1062927</v>
      </c>
      <c r="J31" s="52"/>
    </row>
    <row r="32" spans="2:10" x14ac:dyDescent="0.25">
      <c r="F32" s="43" t="s">
        <v>18</v>
      </c>
      <c r="G32" s="44" t="s">
        <v>51</v>
      </c>
      <c r="H32" s="77">
        <f>-PV($C$5+$C$6,$C$4,H6*H4*H5*1000)</f>
        <v>1006215959.9751154</v>
      </c>
      <c r="I32" s="73"/>
    </row>
    <row r="33" spans="6:9" x14ac:dyDescent="0.25">
      <c r="F33" s="26"/>
      <c r="G33" s="39"/>
      <c r="H33" s="40"/>
      <c r="I33" s="73"/>
    </row>
    <row r="34" spans="6:9" x14ac:dyDescent="0.25">
      <c r="F34" s="12"/>
      <c r="G34" s="41"/>
      <c r="H34" s="41"/>
      <c r="I34" s="73"/>
    </row>
    <row r="35" spans="6:9" x14ac:dyDescent="0.25">
      <c r="F35" s="19"/>
      <c r="G35" s="41"/>
      <c r="H35" s="41"/>
      <c r="I35" s="73"/>
    </row>
    <row r="36" spans="6:9" x14ac:dyDescent="0.25">
      <c r="F36" s="26"/>
      <c r="G36" s="42"/>
      <c r="H36" s="41"/>
      <c r="I36" s="74"/>
    </row>
    <row r="37" spans="6:9" x14ac:dyDescent="0.25">
      <c r="F37" s="26"/>
      <c r="G37" s="26"/>
      <c r="H37" s="41"/>
      <c r="I37" s="73"/>
    </row>
    <row r="38" spans="6:9" x14ac:dyDescent="0.25">
      <c r="I38" s="73"/>
    </row>
    <row r="39" spans="6:9" x14ac:dyDescent="0.25">
      <c r="I39" s="73"/>
    </row>
    <row r="40" spans="6:9" x14ac:dyDescent="0.25">
      <c r="I40" s="73"/>
    </row>
    <row r="41" spans="6:9" x14ac:dyDescent="0.25">
      <c r="I41" s="73"/>
    </row>
    <row r="42" spans="6:9" x14ac:dyDescent="0.25">
      <c r="I42" s="73"/>
    </row>
    <row r="43" spans="6:9" x14ac:dyDescent="0.25">
      <c r="I43" s="73"/>
    </row>
    <row r="44" spans="6:9" x14ac:dyDescent="0.25">
      <c r="I44" s="73"/>
    </row>
    <row r="45" spans="6:9" x14ac:dyDescent="0.25">
      <c r="I45" s="74"/>
    </row>
    <row r="46" spans="6:9" x14ac:dyDescent="0.25">
      <c r="I46" s="73"/>
    </row>
    <row r="47" spans="6:9" x14ac:dyDescent="0.25">
      <c r="I47" s="73"/>
    </row>
    <row r="48" spans="6:9" x14ac:dyDescent="0.25">
      <c r="I48" s="73"/>
    </row>
    <row r="49" spans="9:9" x14ac:dyDescent="0.25">
      <c r="I49" s="73"/>
    </row>
    <row r="50" spans="9:9" x14ac:dyDescent="0.25">
      <c r="I50" s="73"/>
    </row>
  </sheetData>
  <mergeCells count="3">
    <mergeCell ref="I8:I11"/>
    <mergeCell ref="J8:J11"/>
    <mergeCell ref="I22:J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2017-02-27T13:49:26Z</dcterms:modified>
</cp:coreProperties>
</file>