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Felles\Prosjekt\2016_Kostnadsrapport\Fase3\Regneark - MÅ IKKE FLYTTES\"/>
    </mc:Choice>
  </mc:AlternateContent>
  <bookViews>
    <workbookView xWindow="0" yWindow="0" windowWidth="28800" windowHeight="13365"/>
  </bookViews>
  <sheets>
    <sheet name="Kostnad 2016" sheetId="2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C6" i="2"/>
  <c r="C5" i="2"/>
  <c r="C4" i="2"/>
  <c r="C3" i="2"/>
  <c r="H19" i="2" l="1"/>
  <c r="C9" i="2"/>
  <c r="H20" i="2" s="1"/>
  <c r="C8" i="2"/>
  <c r="C7" i="2"/>
  <c r="H7" i="2" l="1"/>
  <c r="C11" i="2" l="1"/>
  <c r="H21" i="2" l="1"/>
  <c r="H22" i="2" s="1"/>
  <c r="H35" i="2" l="1"/>
  <c r="H36" i="2"/>
  <c r="H34" i="2"/>
  <c r="H13" i="2"/>
  <c r="H23" i="2"/>
  <c r="H33" i="2" s="1"/>
  <c r="H12" i="2"/>
  <c r="H10" i="2"/>
  <c r="H11" i="2"/>
  <c r="H17" i="2"/>
  <c r="H32" i="2" s="1"/>
  <c r="H14" i="2"/>
  <c r="H15" i="2" l="1"/>
  <c r="H16" i="2" s="1"/>
  <c r="H31" i="2" s="1"/>
  <c r="F34" i="2"/>
  <c r="F33" i="2"/>
  <c r="F32" i="2"/>
  <c r="F31" i="2"/>
  <c r="H24" i="2" l="1"/>
  <c r="H26" i="2" l="1"/>
</calcChain>
</file>

<file path=xl/sharedStrings.xml><?xml version="1.0" encoding="utf-8"?>
<sst xmlns="http://schemas.openxmlformats.org/spreadsheetml/2006/main" count="87" uniqueCount="61">
  <si>
    <t>Faste driftskostnader</t>
  </si>
  <si>
    <t>%</t>
  </si>
  <si>
    <t>øre/kWh</t>
  </si>
  <si>
    <t>Enhet</t>
  </si>
  <si>
    <t>Ytelse</t>
  </si>
  <si>
    <t xml:space="preserve">Fullasttimer </t>
  </si>
  <si>
    <t>timer/år</t>
  </si>
  <si>
    <t>Investeringskostnader</t>
  </si>
  <si>
    <t>Byggekostnader</t>
  </si>
  <si>
    <t>Nettilknytning</t>
  </si>
  <si>
    <t>Prosjektering og administrasjon</t>
  </si>
  <si>
    <t xml:space="preserve">   Byggetidsrenter     </t>
  </si>
  <si>
    <t xml:space="preserve">Sum investeringskostnader </t>
  </si>
  <si>
    <t xml:space="preserve">Spesifikt brenselforbruk  </t>
  </si>
  <si>
    <t>NOx-avgift</t>
  </si>
  <si>
    <t>Brensels- og utslippskostnader</t>
  </si>
  <si>
    <t>Variable kostnader eks brensel</t>
  </si>
  <si>
    <t>Nåverdier</t>
  </si>
  <si>
    <t>øre</t>
  </si>
  <si>
    <t>Produsert varme</t>
  </si>
  <si>
    <t>kWhv</t>
  </si>
  <si>
    <t>Merknad</t>
  </si>
  <si>
    <t>Kilde</t>
  </si>
  <si>
    <t>Faktor for teknologiforbedring 2016 - 2035</t>
  </si>
  <si>
    <t>LCOE 2016</t>
  </si>
  <si>
    <t>LCOE 2035</t>
  </si>
  <si>
    <t>år</t>
  </si>
  <si>
    <t>Byggetid</t>
  </si>
  <si>
    <t>Levetid</t>
  </si>
  <si>
    <t>Brenselpris</t>
  </si>
  <si>
    <t>prosent/år</t>
  </si>
  <si>
    <t>enhet</t>
  </si>
  <si>
    <t>Diskonteringsrente</t>
  </si>
  <si>
    <t>kWh/kg</t>
  </si>
  <si>
    <t>MW</t>
  </si>
  <si>
    <t>kr/kW</t>
  </si>
  <si>
    <r>
      <t>kr/kW</t>
    </r>
    <r>
      <rPr>
        <sz val="10"/>
        <rFont val="Calibri"/>
        <family val="2"/>
        <scheme val="minor"/>
      </rPr>
      <t xml:space="preserve"> /år</t>
    </r>
  </si>
  <si>
    <t>faktor</t>
  </si>
  <si>
    <t>Inflasjon 2013-2016</t>
  </si>
  <si>
    <t>Kjel</t>
  </si>
  <si>
    <r>
      <t>kWh</t>
    </r>
    <r>
      <rPr>
        <sz val="8"/>
        <rFont val="Calibri"/>
        <family val="2"/>
        <scheme val="minor"/>
      </rPr>
      <t>brensel</t>
    </r>
    <r>
      <rPr>
        <sz val="10"/>
        <rFont val="Calibri"/>
        <family val="2"/>
        <scheme val="minor"/>
      </rPr>
      <t>/kWh</t>
    </r>
  </si>
  <si>
    <t>Brenselspris</t>
  </si>
  <si>
    <r>
      <rPr>
        <sz val="11"/>
        <rFont val="Calibri"/>
        <family val="2"/>
        <scheme val="minor"/>
      </rPr>
      <t>øre/kWh</t>
    </r>
    <r>
      <rPr>
        <sz val="8"/>
        <rFont val="Calibri"/>
        <family val="2"/>
        <scheme val="minor"/>
      </rPr>
      <t>brensel</t>
    </r>
  </si>
  <si>
    <r>
      <t>øre/kWh</t>
    </r>
    <r>
      <rPr>
        <sz val="8"/>
        <rFont val="Calibri"/>
        <family val="2"/>
        <scheme val="minor"/>
      </rPr>
      <t>brensel</t>
    </r>
  </si>
  <si>
    <t>Sum brensels- og utslippskostnader</t>
  </si>
  <si>
    <t>Turbinaggregat og generator</t>
  </si>
  <si>
    <t>Elandel</t>
  </si>
  <si>
    <t>øre/kWhel</t>
  </si>
  <si>
    <t>Produsert el</t>
  </si>
  <si>
    <t>kWel</t>
  </si>
  <si>
    <t>Degraderingsrate</t>
  </si>
  <si>
    <t>Energiinhold (effektiv brennverdi)</t>
  </si>
  <si>
    <t>Energiinhold (øvre brennverdi)</t>
  </si>
  <si>
    <t>Returflis (25 % fukt)</t>
  </si>
  <si>
    <t>Virkningsgrad (øvre brennverdi)</t>
  </si>
  <si>
    <t>Virkningsgrad (effektiv brennverdi)</t>
  </si>
  <si>
    <t>Avfallskjel - rivningsvirke-mottryksturbin</t>
  </si>
  <si>
    <t>Erfaringstall fra Norconsult og Calambio</t>
  </si>
  <si>
    <r>
      <t xml:space="preserve">Justert opp fra </t>
    </r>
    <r>
      <rPr>
        <i/>
        <sz val="11"/>
        <color theme="1"/>
        <rFont val="Calibri"/>
        <family val="2"/>
        <scheme val="minor"/>
      </rPr>
      <t xml:space="preserve">Kostnader i energisektoren 2015 </t>
    </r>
    <r>
      <rPr>
        <sz val="11"/>
        <color theme="1"/>
        <rFont val="Calibri"/>
        <family val="2"/>
        <scheme val="minor"/>
      </rPr>
      <t>vha infasjonsindeks</t>
    </r>
  </si>
  <si>
    <t>Dette er momentan virkningsgrad, årsvirkningsgrad ligger 5-15 % lavere.</t>
  </si>
  <si>
    <t xml:space="preserve">Avfallsforbrenning er moden teknologi med liten potensial for reduksjon i investeringskostnader. Det er antatt samme brenselspris/mottasgebyr her.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</si>
</sst>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64" formatCode="General_)"/>
    <numFmt numFmtId="165" formatCode="0.0"/>
    <numFmt numFmtId="166" formatCode="0.0\ %"/>
    <numFmt numFmtId="167" formatCode="0.000"/>
    <numFmt numFmtId="168" formatCode="#,##0.0"/>
    <numFmt numFmtId="169" formatCode="#,##0.000"/>
    <numFmt numFmtId="170" formatCode="#,##0_ ;[Red]\-#,##0\ 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Helv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sz val="10"/>
      <color theme="1" tint="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80">
    <xf numFmtId="0" fontId="0" fillId="0" borderId="0" xfId="0"/>
    <xf numFmtId="164" fontId="6" fillId="0" borderId="9" xfId="1" applyFont="1" applyFill="1" applyBorder="1"/>
    <xf numFmtId="164" fontId="6" fillId="0" borderId="1" xfId="1" applyFont="1" applyFill="1" applyBorder="1"/>
    <xf numFmtId="164" fontId="6" fillId="0" borderId="12" xfId="1" applyFont="1" applyFill="1" applyBorder="1" applyAlignment="1">
      <alignment horizontal="right"/>
    </xf>
    <xf numFmtId="164" fontId="4" fillId="0" borderId="1" xfId="1" applyFont="1" applyFill="1" applyBorder="1" applyAlignment="1">
      <alignment horizontal="left" indent="1"/>
    </xf>
    <xf numFmtId="164" fontId="4" fillId="0" borderId="12" xfId="1" applyFont="1" applyFill="1" applyBorder="1" applyAlignment="1">
      <alignment horizontal="right"/>
    </xf>
    <xf numFmtId="164" fontId="4" fillId="0" borderId="1" xfId="1" applyFont="1" applyFill="1" applyBorder="1"/>
    <xf numFmtId="164" fontId="4" fillId="0" borderId="10" xfId="1" applyFont="1" applyFill="1" applyBorder="1" applyAlignment="1">
      <alignment horizontal="right"/>
    </xf>
    <xf numFmtId="164" fontId="4" fillId="0" borderId="15" xfId="1" applyFont="1" applyFill="1" applyBorder="1" applyAlignment="1">
      <alignment horizontal="right"/>
    </xf>
    <xf numFmtId="164" fontId="6" fillId="0" borderId="16" xfId="1" applyFont="1" applyFill="1" applyBorder="1"/>
    <xf numFmtId="164" fontId="6" fillId="0" borderId="17" xfId="1" applyFont="1" applyFill="1" applyBorder="1" applyAlignment="1">
      <alignment horizontal="right"/>
    </xf>
    <xf numFmtId="0" fontId="4" fillId="0" borderId="0" xfId="0" applyFont="1"/>
    <xf numFmtId="164" fontId="8" fillId="0" borderId="0" xfId="1" applyFont="1" applyFill="1" applyBorder="1"/>
    <xf numFmtId="164" fontId="8" fillId="0" borderId="0" xfId="1" applyFont="1" applyFill="1" applyBorder="1" applyAlignment="1">
      <alignment horizontal="right"/>
    </xf>
    <xf numFmtId="165" fontId="8" fillId="0" borderId="0" xfId="1" applyNumberFormat="1" applyFont="1" applyFill="1" applyBorder="1"/>
    <xf numFmtId="164" fontId="4" fillId="0" borderId="18" xfId="0" applyNumberFormat="1" applyFont="1" applyBorder="1"/>
    <xf numFmtId="164" fontId="4" fillId="0" borderId="14" xfId="0" applyNumberFormat="1" applyFont="1" applyBorder="1"/>
    <xf numFmtId="0" fontId="4" fillId="0" borderId="12" xfId="0" applyFont="1" applyBorder="1" applyAlignment="1">
      <alignment horizontal="right"/>
    </xf>
    <xf numFmtId="40" fontId="4" fillId="0" borderId="0" xfId="0" applyNumberFormat="1" applyFont="1" applyBorder="1"/>
    <xf numFmtId="0" fontId="4" fillId="0" borderId="0" xfId="0" applyFont="1" applyBorder="1"/>
    <xf numFmtId="0" fontId="5" fillId="2" borderId="21" xfId="0" applyFont="1" applyFill="1" applyBorder="1"/>
    <xf numFmtId="0" fontId="5" fillId="2" borderId="22" xfId="0" applyFont="1" applyFill="1" applyBorder="1"/>
    <xf numFmtId="2" fontId="4" fillId="0" borderId="0" xfId="0" applyNumberFormat="1" applyFont="1"/>
    <xf numFmtId="0" fontId="2" fillId="0" borderId="0" xfId="0" applyFont="1" applyBorder="1"/>
    <xf numFmtId="0" fontId="0" fillId="3" borderId="0" xfId="0" applyFill="1"/>
    <xf numFmtId="164" fontId="5" fillId="3" borderId="1" xfId="1" applyFont="1" applyFill="1" applyBorder="1"/>
    <xf numFmtId="164" fontId="5" fillId="3" borderId="6" xfId="1" applyFont="1" applyFill="1" applyBorder="1" applyAlignment="1">
      <alignment horizontal="right"/>
    </xf>
    <xf numFmtId="0" fontId="0" fillId="0" borderId="0" xfId="0" applyBorder="1"/>
    <xf numFmtId="2" fontId="4" fillId="0" borderId="0" xfId="0" applyNumberFormat="1" applyFont="1" applyBorder="1"/>
    <xf numFmtId="0" fontId="5" fillId="0" borderId="0" xfId="0" applyFont="1" applyFill="1" applyBorder="1"/>
    <xf numFmtId="166" fontId="2" fillId="0" borderId="0" xfId="3" applyNumberFormat="1" applyFont="1" applyBorder="1"/>
    <xf numFmtId="164" fontId="5" fillId="3" borderId="0" xfId="1" applyFont="1" applyFill="1" applyBorder="1"/>
    <xf numFmtId="0" fontId="2" fillId="0" borderId="0" xfId="0" applyFont="1"/>
    <xf numFmtId="2" fontId="2" fillId="0" borderId="0" xfId="0" applyNumberFormat="1" applyFont="1"/>
    <xf numFmtId="164" fontId="4" fillId="4" borderId="12" xfId="1" applyFont="1" applyFill="1" applyBorder="1" applyAlignment="1">
      <alignment horizontal="right"/>
    </xf>
    <xf numFmtId="164" fontId="4" fillId="4" borderId="13" xfId="1" applyFont="1" applyFill="1" applyBorder="1" applyAlignment="1">
      <alignment horizontal="left" indent="1"/>
    </xf>
    <xf numFmtId="0" fontId="1" fillId="2" borderId="25" xfId="0" applyFont="1" applyFill="1" applyBorder="1"/>
    <xf numFmtId="167" fontId="4" fillId="0" borderId="0" xfId="0" applyNumberFormat="1" applyFont="1" applyAlignment="1">
      <alignment horizontal="right"/>
    </xf>
    <xf numFmtId="164" fontId="6" fillId="0" borderId="0" xfId="1" applyFont="1" applyFill="1" applyBorder="1"/>
    <xf numFmtId="0" fontId="6" fillId="0" borderId="0" xfId="0" applyFont="1" applyBorder="1" applyAlignment="1">
      <alignment horizontal="right"/>
    </xf>
    <xf numFmtId="0" fontId="6" fillId="0" borderId="0" xfId="0" applyFont="1" applyBorder="1"/>
    <xf numFmtId="40" fontId="0" fillId="0" borderId="0" xfId="0" applyNumberFormat="1" applyBorder="1"/>
    <xf numFmtId="0" fontId="4" fillId="0" borderId="0" xfId="0" applyFont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164" fontId="4" fillId="0" borderId="19" xfId="0" applyNumberFormat="1" applyFont="1" applyBorder="1"/>
    <xf numFmtId="0" fontId="11" fillId="0" borderId="12" xfId="0" applyFont="1" applyBorder="1" applyAlignment="1">
      <alignment horizontal="right"/>
    </xf>
    <xf numFmtId="164" fontId="5" fillId="3" borderId="12" xfId="1" applyFont="1" applyFill="1" applyBorder="1" applyAlignment="1">
      <alignment horizontal="right"/>
    </xf>
    <xf numFmtId="0" fontId="0" fillId="0" borderId="6" xfId="0" applyBorder="1"/>
    <xf numFmtId="164" fontId="6" fillId="0" borderId="29" xfId="1" applyFont="1" applyFill="1" applyBorder="1"/>
    <xf numFmtId="0" fontId="4" fillId="0" borderId="2" xfId="0" applyFont="1" applyBorder="1" applyAlignment="1">
      <alignment horizontal="right"/>
    </xf>
    <xf numFmtId="0" fontId="4" fillId="0" borderId="20" xfId="0" applyFont="1" applyBorder="1" applyAlignment="1">
      <alignment horizontal="right"/>
    </xf>
    <xf numFmtId="2" fontId="0" fillId="0" borderId="0" xfId="0" applyNumberFormat="1"/>
    <xf numFmtId="0" fontId="0" fillId="0" borderId="0" xfId="0" applyAlignment="1">
      <alignment wrapText="1"/>
    </xf>
    <xf numFmtId="164" fontId="5" fillId="3" borderId="26" xfId="1" applyFont="1" applyFill="1" applyBorder="1" applyAlignment="1">
      <alignment horizontal="right" wrapText="1"/>
    </xf>
    <xf numFmtId="164" fontId="5" fillId="3" borderId="8" xfId="1" applyFont="1" applyFill="1" applyBorder="1" applyAlignment="1">
      <alignment horizontal="right"/>
    </xf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3" fontId="4" fillId="0" borderId="11" xfId="1" applyNumberFormat="1" applyFont="1" applyFill="1" applyBorder="1"/>
    <xf numFmtId="9" fontId="4" fillId="0" borderId="11" xfId="1" applyNumberFormat="1" applyFont="1" applyFill="1" applyBorder="1"/>
    <xf numFmtId="164" fontId="6" fillId="0" borderId="26" xfId="1" applyFont="1" applyFill="1" applyBorder="1"/>
    <xf numFmtId="3" fontId="4" fillId="4" borderId="27" xfId="0" applyNumberFormat="1" applyFont="1" applyFill="1" applyBorder="1"/>
    <xf numFmtId="3" fontId="4" fillId="4" borderId="27" xfId="1" applyNumberFormat="1" applyFont="1" applyFill="1" applyBorder="1"/>
    <xf numFmtId="3" fontId="4" fillId="0" borderId="27" xfId="1" applyNumberFormat="1" applyFont="1" applyFill="1" applyBorder="1"/>
    <xf numFmtId="3" fontId="4" fillId="0" borderId="28" xfId="2" applyNumberFormat="1" applyFont="1" applyFill="1" applyBorder="1"/>
    <xf numFmtId="0" fontId="0" fillId="0" borderId="8" xfId="0" applyFill="1" applyBorder="1"/>
    <xf numFmtId="2" fontId="4" fillId="0" borderId="8" xfId="2" applyNumberFormat="1" applyFont="1" applyFill="1" applyBorder="1"/>
    <xf numFmtId="2" fontId="4" fillId="0" borderId="8" xfId="1" applyNumberFormat="1" applyFont="1" applyFill="1" applyBorder="1"/>
    <xf numFmtId="169" fontId="4" fillId="0" borderId="8" xfId="1" applyNumberFormat="1" applyFont="1" applyFill="1" applyBorder="1"/>
    <xf numFmtId="165" fontId="4" fillId="0" borderId="23" xfId="2" applyNumberFormat="1" applyFont="1" applyFill="1" applyBorder="1"/>
    <xf numFmtId="168" fontId="4" fillId="0" borderId="8" xfId="1" applyNumberFormat="1" applyFont="1" applyFill="1" applyBorder="1"/>
    <xf numFmtId="165" fontId="6" fillId="0" borderId="24" xfId="0" applyNumberFormat="1" applyFont="1" applyFill="1" applyBorder="1"/>
    <xf numFmtId="4" fontId="4" fillId="0" borderId="8" xfId="1" applyNumberFormat="1" applyFont="1" applyFill="1" applyBorder="1"/>
    <xf numFmtId="164" fontId="4" fillId="0" borderId="30" xfId="0" applyNumberFormat="1" applyFont="1" applyBorder="1"/>
    <xf numFmtId="170" fontId="4" fillId="0" borderId="7" xfId="0" applyNumberFormat="1" applyFont="1" applyBorder="1"/>
    <xf numFmtId="170" fontId="0" fillId="0" borderId="31" xfId="0" applyNumberFormat="1" applyBorder="1"/>
    <xf numFmtId="0" fontId="0" fillId="0" borderId="0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4">
    <cellStyle name="Normal" xfId="0" builtinId="0"/>
    <cellStyle name="Normal_Ark1" xfId="1"/>
    <cellStyle name="Prosent" xfId="3" builtinId="5"/>
    <cellStyle name="Tusenskille_Ark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utsetning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vfallskjel_rivningsvirk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nnverdier og priser"/>
      <sheetName val="CO2-avgift, grunnavgift"/>
      <sheetName val="CO2-kvoter"/>
      <sheetName val="byggetid levetid rente"/>
      <sheetName val="NOX avgift"/>
    </sheetNames>
    <sheetDataSet>
      <sheetData sheetId="0">
        <row r="28">
          <cell r="D28">
            <v>4.28</v>
          </cell>
          <cell r="F28">
            <v>3.5</v>
          </cell>
        </row>
        <row r="47">
          <cell r="D47">
            <v>1.4285714285714286</v>
          </cell>
        </row>
      </sheetData>
      <sheetData sheetId="1">
        <row r="8">
          <cell r="M8">
            <v>16.32</v>
          </cell>
        </row>
      </sheetData>
      <sheetData sheetId="2" refreshError="1"/>
      <sheetData sheetId="3">
        <row r="1">
          <cell r="C1">
            <v>1.07973174366617</v>
          </cell>
        </row>
        <row r="22">
          <cell r="C22">
            <v>3</v>
          </cell>
        </row>
        <row r="47">
          <cell r="C47">
            <v>20</v>
          </cell>
          <cell r="D47">
            <v>0.06</v>
          </cell>
          <cell r="E47">
            <v>1E-3</v>
          </cell>
        </row>
      </sheetData>
      <sheetData sheetId="4">
        <row r="16">
          <cell r="H16">
            <v>0.53418556701030917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stnad 2016"/>
    </sheetNames>
    <sheetDataSet>
      <sheetData sheetId="0">
        <row r="3">
          <cell r="C3">
            <v>3</v>
          </cell>
        </row>
        <row r="21">
          <cell r="H21">
            <v>58.677748170878445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selection activeCell="C15" sqref="C15"/>
    </sheetView>
  </sheetViews>
  <sheetFormatPr baseColWidth="10" defaultRowHeight="15" x14ac:dyDescent="0.25"/>
  <cols>
    <col min="1" max="1" width="16.85546875" customWidth="1"/>
    <col min="6" max="6" width="34.140625" customWidth="1"/>
    <col min="7" max="7" width="15" customWidth="1"/>
    <col min="8" max="8" width="15.7109375" bestFit="1" customWidth="1"/>
    <col min="9" max="9" width="24.42578125" customWidth="1"/>
    <col min="10" max="10" width="27.140625" customWidth="1"/>
  </cols>
  <sheetData>
    <row r="1" spans="1:10" ht="15.75" thickBot="1" x14ac:dyDescent="0.3"/>
    <row r="2" spans="1:10" x14ac:dyDescent="0.25">
      <c r="A2" s="20"/>
      <c r="B2" s="20" t="s">
        <v>31</v>
      </c>
      <c r="C2" s="21"/>
      <c r="D2" s="29"/>
      <c r="F2" s="55" t="s">
        <v>56</v>
      </c>
      <c r="G2" s="56"/>
      <c r="H2" s="57"/>
      <c r="I2" s="24"/>
      <c r="J2" s="24"/>
    </row>
    <row r="3" spans="1:10" ht="26.25" x14ac:dyDescent="0.25">
      <c r="A3" s="20" t="s">
        <v>27</v>
      </c>
      <c r="B3" s="32" t="s">
        <v>26</v>
      </c>
      <c r="C3" s="32">
        <f>'[1]byggetid levetid rente'!$C$22</f>
        <v>3</v>
      </c>
      <c r="E3" s="23"/>
      <c r="F3" s="25"/>
      <c r="G3" s="26" t="s">
        <v>3</v>
      </c>
      <c r="H3" s="53" t="s">
        <v>53</v>
      </c>
      <c r="I3" s="24"/>
      <c r="J3" s="24"/>
    </row>
    <row r="4" spans="1:10" x14ac:dyDescent="0.25">
      <c r="A4" s="20" t="s">
        <v>28</v>
      </c>
      <c r="B4" s="32" t="s">
        <v>26</v>
      </c>
      <c r="C4" s="23">
        <f>'[1]byggetid levetid rente'!$C$47</f>
        <v>20</v>
      </c>
      <c r="E4" s="23"/>
      <c r="F4" s="25" t="s">
        <v>4</v>
      </c>
      <c r="G4" s="46" t="s">
        <v>34</v>
      </c>
      <c r="H4" s="54">
        <v>15</v>
      </c>
      <c r="I4" s="31" t="s">
        <v>22</v>
      </c>
      <c r="J4" s="31" t="s">
        <v>21</v>
      </c>
    </row>
    <row r="5" spans="1:10" ht="45" x14ac:dyDescent="0.25">
      <c r="A5" s="20" t="s">
        <v>32</v>
      </c>
      <c r="B5" s="32" t="s">
        <v>30</v>
      </c>
      <c r="C5" s="30">
        <f>'[1]byggetid levetid rente'!$D$47</f>
        <v>0.06</v>
      </c>
      <c r="E5" s="23"/>
      <c r="F5" s="1" t="s">
        <v>5</v>
      </c>
      <c r="G5" s="7" t="s">
        <v>6</v>
      </c>
      <c r="H5" s="58">
        <v>6700</v>
      </c>
      <c r="I5" s="52" t="s">
        <v>57</v>
      </c>
      <c r="J5" s="52" t="s">
        <v>58</v>
      </c>
    </row>
    <row r="6" spans="1:10" ht="60" x14ac:dyDescent="0.25">
      <c r="A6" s="20" t="s">
        <v>50</v>
      </c>
      <c r="B6" s="32" t="s">
        <v>30</v>
      </c>
      <c r="C6" s="30">
        <f>'[1]byggetid levetid rente'!$E$47</f>
        <v>1E-3</v>
      </c>
      <c r="E6" s="11"/>
      <c r="F6" s="1" t="s">
        <v>55</v>
      </c>
      <c r="G6" s="7" t="s">
        <v>1</v>
      </c>
      <c r="H6" s="59">
        <v>0.88</v>
      </c>
      <c r="I6" s="52" t="s">
        <v>57</v>
      </c>
      <c r="J6" s="52" t="s">
        <v>59</v>
      </c>
    </row>
    <row r="7" spans="1:10" x14ac:dyDescent="0.25">
      <c r="A7" s="20" t="s">
        <v>51</v>
      </c>
      <c r="B7" s="11" t="s">
        <v>33</v>
      </c>
      <c r="C7" s="28">
        <f>'[1]Brennverdier og priser'!$F$28</f>
        <v>3.5</v>
      </c>
      <c r="D7" s="11"/>
      <c r="E7" s="11"/>
      <c r="F7" s="1" t="s">
        <v>54</v>
      </c>
      <c r="G7" s="7"/>
      <c r="H7" s="59">
        <f>H6/C8*C7</f>
        <v>0.71962616822429903</v>
      </c>
    </row>
    <row r="8" spans="1:10" ht="30" x14ac:dyDescent="0.25">
      <c r="A8" s="20" t="s">
        <v>52</v>
      </c>
      <c r="B8" s="11" t="s">
        <v>33</v>
      </c>
      <c r="C8" s="51">
        <f>'[1]Brennverdier og priser'!$D$28</f>
        <v>4.28</v>
      </c>
      <c r="E8" s="11"/>
      <c r="F8" s="1" t="s">
        <v>46</v>
      </c>
      <c r="G8" s="7" t="s">
        <v>1</v>
      </c>
      <c r="H8" s="59">
        <v>0.22</v>
      </c>
      <c r="I8" s="52" t="s">
        <v>57</v>
      </c>
    </row>
    <row r="9" spans="1:10" x14ac:dyDescent="0.25">
      <c r="A9" s="20" t="s">
        <v>29</v>
      </c>
      <c r="B9" s="11" t="s">
        <v>43</v>
      </c>
      <c r="C9" s="28">
        <f>'[1]Brennverdier og priser'!$D$47</f>
        <v>1.4285714285714286</v>
      </c>
      <c r="E9" s="11"/>
      <c r="F9" s="2" t="s">
        <v>7</v>
      </c>
      <c r="G9" s="3"/>
      <c r="H9" s="60"/>
    </row>
    <row r="10" spans="1:10" ht="15" customHeight="1" x14ac:dyDescent="0.25">
      <c r="A10" s="20" t="s">
        <v>38</v>
      </c>
      <c r="B10" s="11" t="s">
        <v>37</v>
      </c>
      <c r="C10" s="33">
        <f>'[1]byggetid levetid rente'!$C$1</f>
        <v>1.07973174366617</v>
      </c>
      <c r="D10" s="11"/>
      <c r="E10" s="11"/>
      <c r="F10" s="35" t="s">
        <v>39</v>
      </c>
      <c r="G10" s="34" t="s">
        <v>35</v>
      </c>
      <c r="H10" s="61">
        <f>13200*$C$10</f>
        <v>14252.459016393444</v>
      </c>
      <c r="I10" s="78" t="s">
        <v>57</v>
      </c>
      <c r="J10" s="79" t="s">
        <v>58</v>
      </c>
    </row>
    <row r="11" spans="1:10" x14ac:dyDescent="0.25">
      <c r="A11" s="36" t="s">
        <v>14</v>
      </c>
      <c r="B11" s="11" t="s">
        <v>43</v>
      </c>
      <c r="C11" s="37">
        <f>'[1]NOX avgift'!$H$16</f>
        <v>0.53418556701030917</v>
      </c>
      <c r="E11" s="22"/>
      <c r="F11" s="35" t="s">
        <v>45</v>
      </c>
      <c r="G11" s="34" t="s">
        <v>35</v>
      </c>
      <c r="H11" s="61">
        <f>1600*$C$10</f>
        <v>1727.570789865872</v>
      </c>
      <c r="I11" s="78"/>
      <c r="J11" s="79"/>
    </row>
    <row r="12" spans="1:10" x14ac:dyDescent="0.25">
      <c r="B12" s="11"/>
      <c r="C12" s="11"/>
      <c r="D12" s="22"/>
      <c r="E12" s="22"/>
      <c r="F12" s="35" t="s">
        <v>9</v>
      </c>
      <c r="G12" s="34" t="s">
        <v>35</v>
      </c>
      <c r="H12" s="62">
        <f>410*$C$10</f>
        <v>442.69001490312968</v>
      </c>
      <c r="I12" s="78"/>
      <c r="J12" s="79"/>
    </row>
    <row r="13" spans="1:10" x14ac:dyDescent="0.25">
      <c r="D13" s="22"/>
      <c r="E13" s="22"/>
      <c r="F13" s="35" t="s">
        <v>8</v>
      </c>
      <c r="G13" s="34" t="s">
        <v>35</v>
      </c>
      <c r="H13" s="62">
        <f>4000*$C$10</f>
        <v>4318.9269746646796</v>
      </c>
      <c r="I13" s="78"/>
      <c r="J13" s="79"/>
    </row>
    <row r="14" spans="1:10" x14ac:dyDescent="0.25">
      <c r="F14" s="35" t="s">
        <v>10</v>
      </c>
      <c r="G14" s="34" t="s">
        <v>35</v>
      </c>
      <c r="H14" s="62">
        <f>3060*$C$10</f>
        <v>3303.9791356184801</v>
      </c>
      <c r="I14" s="78"/>
      <c r="J14" s="79"/>
    </row>
    <row r="15" spans="1:10" x14ac:dyDescent="0.25">
      <c r="F15" s="6" t="s">
        <v>11</v>
      </c>
      <c r="G15" s="5" t="s">
        <v>35</v>
      </c>
      <c r="H15" s="63">
        <f>SUM(H10:H14)*(((1+(C5))*((1+C5)^(C3)-1))/(C5*C3))-SUM(H10:H14)</f>
        <v>3002.6254013115213</v>
      </c>
    </row>
    <row r="16" spans="1:10" x14ac:dyDescent="0.25">
      <c r="F16" s="48" t="s">
        <v>12</v>
      </c>
      <c r="G16" s="8" t="s">
        <v>35</v>
      </c>
      <c r="H16" s="64">
        <f t="shared" ref="H16" si="0">SUM(H10:H15)</f>
        <v>27048.251332757125</v>
      </c>
    </row>
    <row r="17" spans="6:10" ht="45" x14ac:dyDescent="0.25">
      <c r="F17" s="1" t="s">
        <v>0</v>
      </c>
      <c r="G17" s="7" t="s">
        <v>36</v>
      </c>
      <c r="H17" s="58">
        <f>800*$C$10</f>
        <v>863.78539493293601</v>
      </c>
      <c r="I17" s="52" t="s">
        <v>57</v>
      </c>
      <c r="J17" s="52" t="s">
        <v>58</v>
      </c>
    </row>
    <row r="18" spans="6:10" x14ac:dyDescent="0.25">
      <c r="F18" s="2" t="s">
        <v>15</v>
      </c>
      <c r="G18" s="47"/>
      <c r="H18" s="65"/>
    </row>
    <row r="19" spans="6:10" x14ac:dyDescent="0.25">
      <c r="F19" s="4" t="s">
        <v>13</v>
      </c>
      <c r="G19" s="5" t="s">
        <v>40</v>
      </c>
      <c r="H19" s="66">
        <f>1/H6</f>
        <v>1.1363636363636365</v>
      </c>
    </row>
    <row r="20" spans="6:10" x14ac:dyDescent="0.25">
      <c r="F20" s="4" t="s">
        <v>41</v>
      </c>
      <c r="G20" s="17" t="s">
        <v>42</v>
      </c>
      <c r="H20" s="67">
        <f>C9</f>
        <v>1.4285714285714286</v>
      </c>
    </row>
    <row r="21" spans="6:10" x14ac:dyDescent="0.25">
      <c r="F21" s="4" t="s">
        <v>14</v>
      </c>
      <c r="G21" s="45" t="s">
        <v>43</v>
      </c>
      <c r="H21" s="68">
        <f>$C$11</f>
        <v>0.53418556701030917</v>
      </c>
    </row>
    <row r="22" spans="6:10" x14ac:dyDescent="0.25">
      <c r="F22" s="2" t="s">
        <v>44</v>
      </c>
      <c r="G22" s="8" t="s">
        <v>2</v>
      </c>
      <c r="H22" s="69">
        <f t="shared" ref="H22" si="1">(H20+H21)*H19</f>
        <v>2.2304056767974294</v>
      </c>
    </row>
    <row r="23" spans="6:10" ht="45" x14ac:dyDescent="0.25">
      <c r="F23" s="1" t="s">
        <v>16</v>
      </c>
      <c r="G23" s="7" t="s">
        <v>2</v>
      </c>
      <c r="H23" s="70">
        <f>7.5*$C$10</f>
        <v>8.0979880774962751</v>
      </c>
      <c r="I23" s="52" t="s">
        <v>57</v>
      </c>
      <c r="J23" s="52" t="s">
        <v>58</v>
      </c>
    </row>
    <row r="24" spans="6:10" ht="15.75" thickBot="1" x14ac:dyDescent="0.3">
      <c r="F24" s="9" t="s">
        <v>24</v>
      </c>
      <c r="G24" s="10" t="s">
        <v>47</v>
      </c>
      <c r="H24" s="71">
        <f>(H31+H32+H33+H34-H35*'[2]Kostnad 2016'!$H$21)/H36</f>
        <v>89.704599386075031</v>
      </c>
    </row>
    <row r="25" spans="6:10" ht="45.75" customHeight="1" x14ac:dyDescent="0.25">
      <c r="F25" s="2" t="s">
        <v>23</v>
      </c>
      <c r="G25" s="3"/>
      <c r="H25" s="72">
        <v>0.96</v>
      </c>
      <c r="I25" s="76" t="s">
        <v>60</v>
      </c>
      <c r="J25" s="77"/>
    </row>
    <row r="26" spans="6:10" ht="15.75" thickBot="1" x14ac:dyDescent="0.3">
      <c r="F26" s="9" t="s">
        <v>25</v>
      </c>
      <c r="G26" s="10" t="s">
        <v>2</v>
      </c>
      <c r="H26" s="71">
        <f t="shared" ref="H26" si="2">H24*H25</f>
        <v>86.11641541063203</v>
      </c>
    </row>
    <row r="27" spans="6:10" x14ac:dyDescent="0.25">
      <c r="H27" s="14"/>
    </row>
    <row r="28" spans="6:10" x14ac:dyDescent="0.25">
      <c r="F28" s="12"/>
      <c r="G28" s="13"/>
      <c r="H28" s="14"/>
    </row>
    <row r="29" spans="6:10" x14ac:dyDescent="0.25">
      <c r="F29" s="11"/>
      <c r="G29" s="11"/>
      <c r="H29" s="11"/>
    </row>
    <row r="30" spans="6:10" x14ac:dyDescent="0.25">
      <c r="F30" s="38" t="s">
        <v>17</v>
      </c>
      <c r="G30" s="39"/>
      <c r="H30" s="40"/>
    </row>
    <row r="31" spans="6:10" x14ac:dyDescent="0.25">
      <c r="F31" s="15" t="str">
        <f>F9</f>
        <v>Investeringskostnader</v>
      </c>
      <c r="G31" s="49" t="s">
        <v>18</v>
      </c>
      <c r="H31" s="73">
        <f>H16*100*1000*H4</f>
        <v>40572376999.135689</v>
      </c>
    </row>
    <row r="32" spans="6:10" x14ac:dyDescent="0.25">
      <c r="F32" s="16" t="str">
        <f>F17</f>
        <v>Faste driftskostnader</v>
      </c>
      <c r="G32" s="42" t="s">
        <v>18</v>
      </c>
      <c r="H32" s="74">
        <f>-PV($C$5,$C$4,H17*100*1000*H4)</f>
        <v>14861325644.442087</v>
      </c>
    </row>
    <row r="33" spans="6:8" x14ac:dyDescent="0.25">
      <c r="F33" s="16" t="str">
        <f>F23</f>
        <v>Variable kostnader eks brensel</v>
      </c>
      <c r="G33" s="42" t="s">
        <v>18</v>
      </c>
      <c r="H33" s="74">
        <f>-PV($C$5,$C$4,H6*H23*1000*H4*H5)</f>
        <v>8214597749.9653645</v>
      </c>
    </row>
    <row r="34" spans="6:8" x14ac:dyDescent="0.25">
      <c r="F34" s="16" t="str">
        <f>F22</f>
        <v>Sum brensels- og utslippskostnader</v>
      </c>
      <c r="G34" s="42" t="s">
        <v>18</v>
      </c>
      <c r="H34" s="74">
        <f>-PV($C$5,$C$4,H6*H22*1000*H4*H5)</f>
        <v>2262523145.1062932</v>
      </c>
    </row>
    <row r="35" spans="6:8" x14ac:dyDescent="0.25">
      <c r="F35" s="16" t="s">
        <v>19</v>
      </c>
      <c r="G35" s="42" t="s">
        <v>20</v>
      </c>
      <c r="H35" s="74">
        <f>-PV($C$5+$C$6,$C$4,H6*H4*H5*1000*(1-H8))</f>
        <v>784848448.78059006</v>
      </c>
    </row>
    <row r="36" spans="6:8" x14ac:dyDescent="0.25">
      <c r="F36" s="44" t="s">
        <v>48</v>
      </c>
      <c r="G36" s="50" t="s">
        <v>49</v>
      </c>
      <c r="H36" s="75">
        <f>-PV($C$5+$C$6,$C$4,H6*H4*H5*1000*H8)</f>
        <v>221367511.19452539</v>
      </c>
    </row>
    <row r="37" spans="6:8" x14ac:dyDescent="0.25">
      <c r="F37" s="12"/>
      <c r="G37" s="42"/>
      <c r="H37" s="14"/>
    </row>
    <row r="38" spans="6:8" x14ac:dyDescent="0.25">
      <c r="F38" s="19"/>
      <c r="G38" s="42"/>
      <c r="H38" s="18"/>
    </row>
    <row r="39" spans="6:8" x14ac:dyDescent="0.25">
      <c r="F39" s="27"/>
      <c r="G39" s="43"/>
      <c r="H39" s="41"/>
    </row>
    <row r="40" spans="6:8" x14ac:dyDescent="0.25">
      <c r="F40" s="27"/>
      <c r="G40" s="27"/>
      <c r="H40" s="27"/>
    </row>
  </sheetData>
  <mergeCells count="3">
    <mergeCell ref="I25:J25"/>
    <mergeCell ref="I10:I14"/>
    <mergeCell ref="J10:J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Kostnad 2016</vt:lpstr>
    </vt:vector>
  </TitlesOfParts>
  <Company>NVE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Olav Karstad Isachsen</dc:creator>
  <cp:lastModifiedBy>Olav Karstad Isachsen</cp:lastModifiedBy>
  <dcterms:created xsi:type="dcterms:W3CDTF">2016-11-15T12:54:30Z</dcterms:created>
  <dcterms:modified xsi:type="dcterms:W3CDTF">2017-02-27T16:12:50Z</dcterms:modified>
</cp:coreProperties>
</file>