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Felles\Prosjekt\2016_Kostnadsrapport\Fase3\Regneark - MÅ IKKE FLYTTES\"/>
    </mc:Choice>
  </mc:AlternateContent>
  <bookViews>
    <workbookView xWindow="0" yWindow="0" windowWidth="28800" windowHeight="13365"/>
  </bookViews>
  <sheets>
    <sheet name="Kostnad 2016" sheetId="2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2" l="1"/>
  <c r="J15" i="2"/>
  <c r="J14" i="2"/>
  <c r="J13" i="2"/>
  <c r="J34" i="2"/>
  <c r="J33" i="2"/>
  <c r="J32" i="2"/>
  <c r="J27" i="2"/>
  <c r="J10" i="2"/>
  <c r="J9" i="2"/>
  <c r="J22" i="2" l="1"/>
  <c r="I18" i="2"/>
  <c r="K18" i="2"/>
  <c r="L18" i="2"/>
  <c r="M18" i="2"/>
  <c r="N18" i="2"/>
  <c r="C19" i="2" l="1"/>
  <c r="C18" i="2"/>
  <c r="J30" i="2" s="1"/>
  <c r="E13" i="2"/>
  <c r="D13" i="2"/>
  <c r="C13" i="2"/>
  <c r="C14" i="2"/>
  <c r="D7" i="2"/>
  <c r="C7" i="2"/>
  <c r="C3" i="2"/>
  <c r="J16" i="2" l="1"/>
  <c r="J17" i="2" s="1"/>
  <c r="J42" i="2" s="1"/>
  <c r="J44" i="2"/>
  <c r="J46" i="2"/>
  <c r="J19" i="2"/>
  <c r="J43" i="2" s="1"/>
  <c r="J20" i="2"/>
  <c r="L20" i="2"/>
  <c r="I20" i="2"/>
  <c r="N20" i="2"/>
  <c r="L19" i="2"/>
  <c r="I19" i="2"/>
  <c r="I43" i="2" s="1"/>
  <c r="M20" i="2"/>
  <c r="K20" i="2"/>
  <c r="K19" i="2"/>
  <c r="K43" i="2" s="1"/>
  <c r="I34" i="2"/>
  <c r="N19" i="2"/>
  <c r="N43" i="2" s="1"/>
  <c r="I33" i="2"/>
  <c r="M19" i="2"/>
  <c r="L46" i="2"/>
  <c r="M46" i="2"/>
  <c r="N46" i="2"/>
  <c r="N44" i="2"/>
  <c r="I32" i="2" l="1"/>
  <c r="I27" i="2"/>
  <c r="I10" i="2"/>
  <c r="I9" i="2"/>
  <c r="I44" i="2" l="1"/>
  <c r="I22" i="2"/>
  <c r="I46" i="2"/>
  <c r="K32" i="2"/>
  <c r="G45" i="2"/>
  <c r="M44" i="2"/>
  <c r="L44" i="2"/>
  <c r="M30" i="2" l="1"/>
  <c r="C17" i="2"/>
  <c r="M29" i="2" s="1"/>
  <c r="A17" i="2"/>
  <c r="C16" i="2"/>
  <c r="J29" i="2" s="1"/>
  <c r="A16" i="2"/>
  <c r="C15" i="2"/>
  <c r="J28" i="2" s="1"/>
  <c r="J31" i="2" s="1"/>
  <c r="A15" i="2"/>
  <c r="K29" i="2" l="1"/>
  <c r="I29" i="2"/>
  <c r="M28" i="2"/>
  <c r="I28" i="2"/>
  <c r="K30" i="2"/>
  <c r="I30" i="2"/>
  <c r="I31" i="2" s="1"/>
  <c r="L28" i="2"/>
  <c r="K28" i="2"/>
  <c r="N28" i="2"/>
  <c r="L30" i="2"/>
  <c r="L29" i="2"/>
  <c r="N29" i="2"/>
  <c r="N30" i="2"/>
  <c r="L27" i="2"/>
  <c r="L31" i="2" s="1"/>
  <c r="M27" i="2"/>
  <c r="M31" i="2" s="1"/>
  <c r="N27" i="2"/>
  <c r="K27" i="2"/>
  <c r="N31" i="2" l="1"/>
  <c r="K31" i="2"/>
  <c r="N24" i="2"/>
  <c r="E12" i="2"/>
  <c r="D12" i="2"/>
  <c r="L23" i="2" s="1"/>
  <c r="C12" i="2"/>
  <c r="L22" i="2"/>
  <c r="M22" i="2"/>
  <c r="N22" i="2"/>
  <c r="M43" i="2"/>
  <c r="L43" i="2"/>
  <c r="I23" i="2" l="1"/>
  <c r="I25" i="2" s="1"/>
  <c r="I45" i="2" s="1"/>
  <c r="J23" i="2"/>
  <c r="J25" i="2" s="1"/>
  <c r="J45" i="2" s="1"/>
  <c r="J35" i="2" s="1"/>
  <c r="J37" i="2" s="1"/>
  <c r="L25" i="2"/>
  <c r="L45" i="2" s="1"/>
  <c r="K23" i="2"/>
  <c r="N23" i="2"/>
  <c r="M23" i="2"/>
  <c r="M25" i="2" l="1"/>
  <c r="M45" i="2" s="1"/>
  <c r="N25" i="2"/>
  <c r="N45" i="2" s="1"/>
  <c r="K9" i="2" l="1"/>
  <c r="K22" i="2" l="1"/>
  <c r="K25" i="2" s="1"/>
  <c r="K45" i="2" s="1"/>
  <c r="K46" i="2"/>
  <c r="K44" i="2"/>
  <c r="E11" i="2"/>
  <c r="D11" i="2"/>
  <c r="C11" i="2"/>
  <c r="E10" i="2"/>
  <c r="D10" i="2"/>
  <c r="C10" i="2"/>
  <c r="I16" i="2" l="1"/>
  <c r="I17" i="2" s="1"/>
  <c r="I42" i="2" s="1"/>
  <c r="I35" i="2" s="1"/>
  <c r="K16" i="2"/>
  <c r="K17" i="2" s="1"/>
  <c r="K42" i="2" s="1"/>
  <c r="L16" i="2"/>
  <c r="L17" i="2" s="1"/>
  <c r="L42" i="2" s="1"/>
  <c r="M16" i="2"/>
  <c r="N16" i="2"/>
  <c r="K10" i="2"/>
  <c r="N10" i="2"/>
  <c r="M10" i="2"/>
  <c r="L10" i="2"/>
  <c r="I37" i="2" l="1"/>
  <c r="K35" i="2"/>
  <c r="K37" i="2" s="1"/>
  <c r="L35" i="2"/>
  <c r="L37" i="2" s="1"/>
  <c r="N17" i="2"/>
  <c r="M17" i="2"/>
  <c r="M42" i="2" l="1"/>
  <c r="M35" i="2" s="1"/>
  <c r="M37" i="2" s="1"/>
  <c r="N42" i="2"/>
  <c r="N35" i="2" s="1"/>
  <c r="N37" i="2" s="1"/>
  <c r="G42" i="2"/>
</calcChain>
</file>

<file path=xl/sharedStrings.xml><?xml version="1.0" encoding="utf-8"?>
<sst xmlns="http://schemas.openxmlformats.org/spreadsheetml/2006/main" count="130" uniqueCount="82">
  <si>
    <t>Faste driftskostnader</t>
  </si>
  <si>
    <t>%</t>
  </si>
  <si>
    <t>øre/kWh</t>
  </si>
  <si>
    <t>Enhet</t>
  </si>
  <si>
    <t>Ytelse</t>
  </si>
  <si>
    <t>timer/år</t>
  </si>
  <si>
    <t>Investeringskostnader</t>
  </si>
  <si>
    <t xml:space="preserve">   Byggetidsrenter     </t>
  </si>
  <si>
    <t xml:space="preserve">Sum investeringskostnader </t>
  </si>
  <si>
    <t>NOx-avgift</t>
  </si>
  <si>
    <t>Variable kostnader eks brensel</t>
  </si>
  <si>
    <t>Nåverdier</t>
  </si>
  <si>
    <t>øre</t>
  </si>
  <si>
    <t>Produsert varme</t>
  </si>
  <si>
    <t>kWhv</t>
  </si>
  <si>
    <t>Merknad</t>
  </si>
  <si>
    <t>Kilde</t>
  </si>
  <si>
    <t>Faktor for teknologiforbedring 2016 - 2035</t>
  </si>
  <si>
    <t>LCOE 2016</t>
  </si>
  <si>
    <t>LCOE 2035</t>
  </si>
  <si>
    <t>år</t>
  </si>
  <si>
    <t>Byggetid</t>
  </si>
  <si>
    <t>Levetid</t>
  </si>
  <si>
    <t>prosent/år</t>
  </si>
  <si>
    <t>enhet</t>
  </si>
  <si>
    <t>Diskonteringsrente</t>
  </si>
  <si>
    <t>kWh/kg</t>
  </si>
  <si>
    <t>MW</t>
  </si>
  <si>
    <t>kr/kW</t>
  </si>
  <si>
    <r>
      <t>kr/kW</t>
    </r>
    <r>
      <rPr>
        <sz val="10"/>
        <rFont val="Calibri"/>
        <family val="2"/>
        <scheme val="minor"/>
      </rPr>
      <t xml:space="preserve"> /år</t>
    </r>
  </si>
  <si>
    <t>Biokjel grunnlast med elkjel som topplast</t>
  </si>
  <si>
    <t>Virkningsgrad elkjel</t>
  </si>
  <si>
    <t>Fullasttimer elkjel som backup</t>
  </si>
  <si>
    <t>Fullasttimer biokjel</t>
  </si>
  <si>
    <t>Fullasttimer elkjel som spisslast</t>
  </si>
  <si>
    <t>Anleggskostnader biokjel</t>
  </si>
  <si>
    <t>Anleggskostnader elkjel 1</t>
  </si>
  <si>
    <t>Anleggskostnader elkjel 2</t>
  </si>
  <si>
    <t>Faste driftskostnader elkjel 2</t>
  </si>
  <si>
    <t>Faste driftskostnader biokjel</t>
  </si>
  <si>
    <t>Faste driftskostnader elkjel 1</t>
  </si>
  <si>
    <t>Variable kostnader eks energi, biokjel</t>
  </si>
  <si>
    <t>Variable kostnader eks energi, elkjel 1</t>
  </si>
  <si>
    <t>Variable kostnader eks energi, elkjel 2</t>
  </si>
  <si>
    <t>Inflasjon 2014-2016</t>
  </si>
  <si>
    <t>faktor</t>
  </si>
  <si>
    <t>Forutsetninger</t>
  </si>
  <si>
    <t>Opp til 10 MW</t>
  </si>
  <si>
    <t>Over 10 MW</t>
  </si>
  <si>
    <t>Fuktig flis</t>
  </si>
  <si>
    <t>Tørr flis</t>
  </si>
  <si>
    <t>Pellets</t>
  </si>
  <si>
    <t>Effektiv brennverdi</t>
  </si>
  <si>
    <t>Øvre brennverdi</t>
  </si>
  <si>
    <t>Brenselspris</t>
  </si>
  <si>
    <t>Virkningsgrad biokjel (effektiv brennverdi)</t>
  </si>
  <si>
    <t>Virkningsgrad biokjel (øvre brennverdi)</t>
  </si>
  <si>
    <t>Brenselskostnad bio</t>
  </si>
  <si>
    <r>
      <t>øre/kWh</t>
    </r>
    <r>
      <rPr>
        <sz val="8"/>
        <rFont val="Calibri"/>
        <family val="2"/>
        <scheme val="minor"/>
      </rPr>
      <t>brensel</t>
    </r>
  </si>
  <si>
    <t>øre/kWhel</t>
  </si>
  <si>
    <t>Spesifikt brenselsforbruk bio</t>
  </si>
  <si>
    <t>El-avgift husholdninger</t>
  </si>
  <si>
    <t>El-avgift lav sats</t>
  </si>
  <si>
    <t>Brensels- og utslippskostnader bio</t>
  </si>
  <si>
    <t>Sum brensels- og utslippskostnader bio</t>
  </si>
  <si>
    <t>Brensels- og utslippskostnader el</t>
  </si>
  <si>
    <t>Sum brensels- og utslippskostnader el</t>
  </si>
  <si>
    <t>kWhel/kWh</t>
  </si>
  <si>
    <r>
      <t>kWh</t>
    </r>
    <r>
      <rPr>
        <sz val="8"/>
        <rFont val="Calibri"/>
        <family val="2"/>
        <scheme val="minor"/>
      </rPr>
      <t>brensel/kWh</t>
    </r>
  </si>
  <si>
    <t>Kraftpris</t>
  </si>
  <si>
    <t>Nettleie</t>
  </si>
  <si>
    <t>El-avgift</t>
  </si>
  <si>
    <t>Spesifikt brenselsforbruk elkjel</t>
  </si>
  <si>
    <t>Dette er momentan virkningsgrad, årsvirkningsgrad er 5-10% lavere</t>
  </si>
  <si>
    <t>Norconsult</t>
  </si>
  <si>
    <r>
      <t xml:space="preserve">Justert opp fra </t>
    </r>
    <r>
      <rPr>
        <i/>
        <sz val="11"/>
        <color theme="1"/>
        <rFont val="Calibri"/>
        <family val="2"/>
        <scheme val="minor"/>
      </rPr>
      <t xml:space="preserve">Kostnader i energisektoren 2015 </t>
    </r>
    <r>
      <rPr>
        <sz val="11"/>
        <color theme="1"/>
        <rFont val="Calibri"/>
        <family val="2"/>
        <scheme val="minor"/>
      </rPr>
      <t>vha infasjonsindeks</t>
    </r>
  </si>
  <si>
    <t>Bioen AS</t>
  </si>
  <si>
    <t>Biokjel er moden anlegg med begrenset potensial for reduksjon i investeringskostnader. Det er forutsatt forbedring i virkningsgraden med 2 prosentpoeng. Brenselskostnader er antatt konstante.</t>
  </si>
  <si>
    <r>
      <t xml:space="preserve">Justert opp fra </t>
    </r>
    <r>
      <rPr>
        <i/>
        <sz val="11"/>
        <color theme="1"/>
        <rFont val="Calibri"/>
        <family val="2"/>
        <scheme val="minor"/>
      </rPr>
      <t xml:space="preserve">Kostnader i energisektoren 2015 </t>
    </r>
    <r>
      <rPr>
        <sz val="11"/>
        <color theme="1"/>
        <rFont val="Calibri"/>
        <family val="2"/>
        <scheme val="minor"/>
      </rPr>
      <t>vha inflasjonsindeks</t>
    </r>
  </si>
  <si>
    <t>inkl. mva.</t>
  </si>
  <si>
    <t>Mva.</t>
  </si>
  <si>
    <t>prosent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</si>
</sst>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General_)"/>
    <numFmt numFmtId="165" formatCode="0.0"/>
    <numFmt numFmtId="166" formatCode="0.0\ %"/>
    <numFmt numFmtId="167" formatCode="#,##0.0"/>
    <numFmt numFmtId="168" formatCode="0.000"/>
    <numFmt numFmtId="169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Helv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3" fillId="0" borderId="0"/>
    <xf numFmtId="43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42">
    <xf numFmtId="0" fontId="0" fillId="0" borderId="0" xfId="0"/>
    <xf numFmtId="164" fontId="7" fillId="0" borderId="10" xfId="1" applyFont="1" applyFill="1" applyBorder="1"/>
    <xf numFmtId="164" fontId="7" fillId="0" borderId="1" xfId="1" applyFont="1" applyFill="1" applyBorder="1"/>
    <xf numFmtId="164" fontId="7" fillId="0" borderId="13" xfId="1" applyFont="1" applyFill="1" applyBorder="1" applyAlignment="1">
      <alignment horizontal="right"/>
    </xf>
    <xf numFmtId="164" fontId="4" fillId="0" borderId="1" xfId="1" applyFont="1" applyFill="1" applyBorder="1" applyAlignment="1">
      <alignment horizontal="left" indent="1"/>
    </xf>
    <xf numFmtId="164" fontId="4" fillId="0" borderId="13" xfId="1" applyFont="1" applyFill="1" applyBorder="1" applyAlignment="1">
      <alignment horizontal="right"/>
    </xf>
    <xf numFmtId="3" fontId="4" fillId="0" borderId="8" xfId="1" applyNumberFormat="1" applyFont="1" applyFill="1" applyBorder="1"/>
    <xf numFmtId="164" fontId="4" fillId="0" borderId="1" xfId="1" applyFont="1" applyFill="1" applyBorder="1"/>
    <xf numFmtId="164" fontId="4" fillId="0" borderId="11" xfId="1" applyFont="1" applyFill="1" applyBorder="1" applyAlignment="1">
      <alignment horizontal="right"/>
    </xf>
    <xf numFmtId="3" fontId="4" fillId="0" borderId="2" xfId="2" applyNumberFormat="1" applyFont="1" applyFill="1" applyBorder="1"/>
    <xf numFmtId="165" fontId="4" fillId="0" borderId="8" xfId="1" applyNumberFormat="1" applyFont="1" applyFill="1" applyBorder="1"/>
    <xf numFmtId="164" fontId="4" fillId="0" borderId="16" xfId="1" applyFont="1" applyFill="1" applyBorder="1" applyAlignment="1">
      <alignment horizontal="right"/>
    </xf>
    <xf numFmtId="165" fontId="4" fillId="0" borderId="17" xfId="2" applyNumberFormat="1" applyFont="1" applyFill="1" applyBorder="1"/>
    <xf numFmtId="164" fontId="7" fillId="0" borderId="18" xfId="1" applyFont="1" applyFill="1" applyBorder="1"/>
    <xf numFmtId="164" fontId="7" fillId="0" borderId="19" xfId="1" applyFont="1" applyFill="1" applyBorder="1" applyAlignment="1">
      <alignment horizontal="right"/>
    </xf>
    <xf numFmtId="165" fontId="7" fillId="0" borderId="19" xfId="0" applyNumberFormat="1" applyFont="1" applyFill="1" applyBorder="1"/>
    <xf numFmtId="0" fontId="4" fillId="0" borderId="0" xfId="0" applyFont="1"/>
    <xf numFmtId="164" fontId="9" fillId="0" borderId="0" xfId="1" applyFont="1" applyFill="1" applyBorder="1"/>
    <xf numFmtId="164" fontId="9" fillId="0" borderId="0" xfId="1" applyFont="1" applyFill="1" applyBorder="1" applyAlignment="1">
      <alignment horizontal="right"/>
    </xf>
    <xf numFmtId="165" fontId="9" fillId="0" borderId="0" xfId="1" applyNumberFormat="1" applyFont="1" applyFill="1" applyBorder="1"/>
    <xf numFmtId="164" fontId="4" fillId="0" borderId="20" xfId="0" applyNumberFormat="1" applyFont="1" applyBorder="1"/>
    <xf numFmtId="0" fontId="4" fillId="0" borderId="7" xfId="0" applyFont="1" applyBorder="1" applyAlignment="1">
      <alignment horizontal="right"/>
    </xf>
    <xf numFmtId="164" fontId="4" fillId="0" borderId="3" xfId="0" applyNumberFormat="1" applyFont="1" applyBorder="1"/>
    <xf numFmtId="164" fontId="4" fillId="0" borderId="15" xfId="0" applyNumberFormat="1" applyFont="1" applyBorder="1"/>
    <xf numFmtId="0" fontId="4" fillId="0" borderId="13" xfId="0" applyFont="1" applyBorder="1" applyAlignment="1">
      <alignment horizontal="right"/>
    </xf>
    <xf numFmtId="40" fontId="4" fillId="0" borderId="0" xfId="0" applyNumberFormat="1" applyFont="1" applyBorder="1"/>
    <xf numFmtId="0" fontId="4" fillId="0" borderId="0" xfId="0" applyFont="1" applyBorder="1"/>
    <xf numFmtId="0" fontId="5" fillId="2" borderId="23" xfId="0" applyFont="1" applyFill="1" applyBorder="1"/>
    <xf numFmtId="2" fontId="4" fillId="0" borderId="0" xfId="0" applyNumberFormat="1" applyFont="1"/>
    <xf numFmtId="0" fontId="2" fillId="0" borderId="0" xfId="0" applyFont="1" applyBorder="1"/>
    <xf numFmtId="3" fontId="4" fillId="3" borderId="8" xfId="1" applyNumberFormat="1" applyFont="1" applyFill="1" applyBorder="1"/>
    <xf numFmtId="3" fontId="4" fillId="3" borderId="9" xfId="1" applyNumberFormat="1" applyFont="1" applyFill="1" applyBorder="1"/>
    <xf numFmtId="0" fontId="0" fillId="4" borderId="0" xfId="0" applyFill="1"/>
    <xf numFmtId="164" fontId="5" fillId="4" borderId="1" xfId="1" applyFont="1" applyFill="1" applyBorder="1"/>
    <xf numFmtId="164" fontId="5" fillId="4" borderId="7" xfId="1" applyFont="1" applyFill="1" applyBorder="1" applyAlignment="1">
      <alignment horizontal="right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164" fontId="5" fillId="4" borderId="8" xfId="1" applyFont="1" applyFill="1" applyBorder="1" applyAlignment="1">
      <alignment horizontal="right"/>
    </xf>
    <xf numFmtId="164" fontId="5" fillId="4" borderId="9" xfId="1" applyFont="1" applyFill="1" applyBorder="1" applyAlignment="1">
      <alignment horizontal="right"/>
    </xf>
    <xf numFmtId="40" fontId="0" fillId="0" borderId="0" xfId="0" applyNumberFormat="1"/>
    <xf numFmtId="164" fontId="5" fillId="4" borderId="0" xfId="1" applyFont="1" applyFill="1" applyBorder="1"/>
    <xf numFmtId="165" fontId="4" fillId="0" borderId="9" xfId="1" applyNumberFormat="1" applyFont="1" applyFill="1" applyBorder="1"/>
    <xf numFmtId="165" fontId="4" fillId="0" borderId="25" xfId="2" applyNumberFormat="1" applyFont="1" applyFill="1" applyBorder="1"/>
    <xf numFmtId="165" fontId="7" fillId="0" borderId="26" xfId="0" applyNumberFormat="1" applyFont="1" applyFill="1" applyBorder="1"/>
    <xf numFmtId="2" fontId="0" fillId="0" borderId="0" xfId="0" applyNumberFormat="1"/>
    <xf numFmtId="0" fontId="11" fillId="0" borderId="0" xfId="0" applyFont="1"/>
    <xf numFmtId="0" fontId="0" fillId="0" borderId="0" xfId="0" applyFont="1"/>
    <xf numFmtId="0" fontId="0" fillId="0" borderId="0" xfId="0" applyFont="1" applyBorder="1"/>
    <xf numFmtId="0" fontId="1" fillId="2" borderId="23" xfId="0" applyFont="1" applyFill="1" applyBorder="1"/>
    <xf numFmtId="0" fontId="1" fillId="2" borderId="2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6" fontId="0" fillId="0" borderId="0" xfId="3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2" fillId="0" borderId="0" xfId="0" applyFont="1"/>
    <xf numFmtId="2" fontId="12" fillId="0" borderId="0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1" fillId="2" borderId="27" xfId="0" applyFont="1" applyFill="1" applyBorder="1"/>
    <xf numFmtId="2" fontId="12" fillId="0" borderId="0" xfId="0" applyNumberFormat="1" applyFont="1" applyAlignment="1">
      <alignment horizontal="center"/>
    </xf>
    <xf numFmtId="2" fontId="12" fillId="0" borderId="0" xfId="0" applyNumberFormat="1" applyFont="1"/>
    <xf numFmtId="0" fontId="1" fillId="4" borderId="4" xfId="0" applyFont="1" applyFill="1" applyBorder="1" applyAlignment="1"/>
    <xf numFmtId="0" fontId="1" fillId="4" borderId="5" xfId="0" applyFont="1" applyFill="1" applyBorder="1" applyAlignment="1"/>
    <xf numFmtId="3" fontId="0" fillId="0" borderId="0" xfId="0" applyNumberFormat="1"/>
    <xf numFmtId="1" fontId="0" fillId="0" borderId="0" xfId="0" applyNumberFormat="1"/>
    <xf numFmtId="165" fontId="12" fillId="0" borderId="0" xfId="0" applyNumberFormat="1" applyFont="1" applyBorder="1" applyAlignment="1">
      <alignment horizontal="center"/>
    </xf>
    <xf numFmtId="168" fontId="0" fillId="0" borderId="0" xfId="0" applyNumberFormat="1" applyFont="1" applyFill="1" applyAlignment="1">
      <alignment horizontal="center"/>
    </xf>
    <xf numFmtId="168" fontId="12" fillId="0" borderId="0" xfId="0" applyNumberFormat="1" applyFont="1" applyAlignment="1">
      <alignment horizontal="center"/>
    </xf>
    <xf numFmtId="2" fontId="4" fillId="0" borderId="0" xfId="0" applyNumberFormat="1" applyFont="1" applyBorder="1"/>
    <xf numFmtId="0" fontId="5" fillId="2" borderId="27" xfId="0" applyFont="1" applyFill="1" applyBorder="1"/>
    <xf numFmtId="4" fontId="0" fillId="0" borderId="0" xfId="0" applyNumberFormat="1"/>
    <xf numFmtId="164" fontId="7" fillId="0" borderId="8" xfId="1" applyFont="1" applyFill="1" applyBorder="1"/>
    <xf numFmtId="164" fontId="4" fillId="0" borderId="9" xfId="1" applyFont="1" applyFill="1" applyBorder="1"/>
    <xf numFmtId="3" fontId="4" fillId="0" borderId="9" xfId="1" applyNumberFormat="1" applyFont="1" applyFill="1" applyBorder="1"/>
    <xf numFmtId="4" fontId="4" fillId="0" borderId="8" xfId="1" applyNumberFormat="1" applyFont="1" applyFill="1" applyBorder="1"/>
    <xf numFmtId="167" fontId="4" fillId="0" borderId="9" xfId="1" applyNumberFormat="1" applyFont="1" applyFill="1" applyBorder="1"/>
    <xf numFmtId="164" fontId="4" fillId="0" borderId="14" xfId="1" applyFont="1" applyFill="1" applyBorder="1" applyAlignment="1">
      <alignment horizontal="left" indent="1"/>
    </xf>
    <xf numFmtId="164" fontId="7" fillId="0" borderId="28" xfId="1" applyFont="1" applyFill="1" applyBorder="1"/>
    <xf numFmtId="3" fontId="4" fillId="0" borderId="17" xfId="2" applyNumberFormat="1" applyFont="1" applyFill="1" applyBorder="1"/>
    <xf numFmtId="3" fontId="4" fillId="0" borderId="11" xfId="1" applyNumberFormat="1" applyFont="1" applyFill="1" applyBorder="1"/>
    <xf numFmtId="3" fontId="4" fillId="3" borderId="11" xfId="1" applyNumberFormat="1" applyFont="1" applyFill="1" applyBorder="1"/>
    <xf numFmtId="164" fontId="5" fillId="4" borderId="13" xfId="1" applyFont="1" applyFill="1" applyBorder="1" applyAlignment="1">
      <alignment horizontal="right"/>
    </xf>
    <xf numFmtId="9" fontId="4" fillId="0" borderId="11" xfId="3" applyFont="1" applyFill="1" applyBorder="1"/>
    <xf numFmtId="164" fontId="7" fillId="0" borderId="11" xfId="1" applyFont="1" applyFill="1" applyBorder="1" applyAlignment="1">
      <alignment horizontal="right"/>
    </xf>
    <xf numFmtId="0" fontId="6" fillId="4" borderId="29" xfId="0" applyFont="1" applyFill="1" applyBorder="1" applyAlignment="1">
      <alignment horizontal="center"/>
    </xf>
    <xf numFmtId="164" fontId="5" fillId="4" borderId="17" xfId="1" applyFont="1" applyFill="1" applyBorder="1" applyAlignment="1">
      <alignment horizontal="right"/>
    </xf>
    <xf numFmtId="164" fontId="7" fillId="0" borderId="30" xfId="1" applyFont="1" applyFill="1" applyBorder="1"/>
    <xf numFmtId="3" fontId="4" fillId="0" borderId="31" xfId="1" applyNumberFormat="1" applyFont="1" applyFill="1" applyBorder="1"/>
    <xf numFmtId="9" fontId="4" fillId="0" borderId="31" xfId="3" applyFont="1" applyFill="1" applyBorder="1"/>
    <xf numFmtId="3" fontId="4" fillId="0" borderId="25" xfId="2" applyNumberFormat="1" applyFont="1" applyFill="1" applyBorder="1"/>
    <xf numFmtId="3" fontId="4" fillId="0" borderId="12" xfId="1" applyNumberFormat="1" applyFont="1" applyFill="1" applyBorder="1"/>
    <xf numFmtId="3" fontId="4" fillId="3" borderId="31" xfId="1" applyNumberFormat="1" applyFont="1" applyFill="1" applyBorder="1"/>
    <xf numFmtId="4" fontId="4" fillId="0" borderId="9" xfId="1" applyNumberFormat="1" applyFont="1" applyFill="1" applyBorder="1"/>
    <xf numFmtId="167" fontId="4" fillId="3" borderId="11" xfId="1" applyNumberFormat="1" applyFont="1" applyFill="1" applyBorder="1"/>
    <xf numFmtId="167" fontId="4" fillId="3" borderId="31" xfId="1" applyNumberFormat="1" applyFont="1" applyFill="1" applyBorder="1"/>
    <xf numFmtId="0" fontId="0" fillId="0" borderId="0" xfId="0" applyBorder="1"/>
    <xf numFmtId="164" fontId="4" fillId="0" borderId="0" xfId="1" applyFont="1" applyFill="1" applyBorder="1" applyAlignment="1">
      <alignment horizontal="right"/>
    </xf>
    <xf numFmtId="40" fontId="0" fillId="0" borderId="0" xfId="0" applyNumberFormat="1" applyBorder="1"/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64" fontId="7" fillId="0" borderId="0" xfId="1" applyFont="1" applyFill="1" applyBorder="1"/>
    <xf numFmtId="0" fontId="7" fillId="0" borderId="0" xfId="0" applyFont="1" applyBorder="1" applyAlignment="1">
      <alignment horizontal="right"/>
    </xf>
    <xf numFmtId="0" fontId="7" fillId="0" borderId="0" xfId="0" applyFont="1" applyBorder="1"/>
    <xf numFmtId="164" fontId="4" fillId="0" borderId="21" xfId="0" applyNumberFormat="1" applyFont="1" applyBorder="1"/>
    <xf numFmtId="0" fontId="4" fillId="0" borderId="16" xfId="0" applyFont="1" applyBorder="1" applyAlignment="1">
      <alignment horizontal="right"/>
    </xf>
    <xf numFmtId="40" fontId="4" fillId="0" borderId="22" xfId="0" applyNumberFormat="1" applyFont="1" applyBorder="1"/>
    <xf numFmtId="0" fontId="5" fillId="0" borderId="0" xfId="0" applyFont="1" applyFill="1" applyBorder="1"/>
    <xf numFmtId="0" fontId="0" fillId="0" borderId="0" xfId="0" applyFill="1"/>
    <xf numFmtId="164" fontId="7" fillId="0" borderId="8" xfId="1" applyFont="1" applyFill="1" applyBorder="1" applyAlignment="1">
      <alignment horizontal="right"/>
    </xf>
    <xf numFmtId="3" fontId="4" fillId="0" borderId="30" xfId="1" applyNumberFormat="1" applyFont="1" applyFill="1" applyBorder="1"/>
    <xf numFmtId="9" fontId="4" fillId="0" borderId="30" xfId="3" applyFont="1" applyFill="1" applyBorder="1"/>
    <xf numFmtId="164" fontId="7" fillId="0" borderId="14" xfId="1" applyFont="1" applyFill="1" applyBorder="1" applyAlignment="1">
      <alignment horizontal="right"/>
    </xf>
    <xf numFmtId="3" fontId="4" fillId="0" borderId="14" xfId="1" applyNumberFormat="1" applyFont="1" applyFill="1" applyBorder="1"/>
    <xf numFmtId="3" fontId="4" fillId="0" borderId="33" xfId="2" applyNumberFormat="1" applyFont="1" applyFill="1" applyBorder="1"/>
    <xf numFmtId="4" fontId="4" fillId="0" borderId="14" xfId="1" applyNumberFormat="1" applyFont="1" applyFill="1" applyBorder="1"/>
    <xf numFmtId="165" fontId="4" fillId="0" borderId="14" xfId="1" applyNumberFormat="1" applyFont="1" applyFill="1" applyBorder="1"/>
    <xf numFmtId="165" fontId="4" fillId="0" borderId="33" xfId="2" applyNumberFormat="1" applyFont="1" applyFill="1" applyBorder="1"/>
    <xf numFmtId="167" fontId="4" fillId="3" borderId="30" xfId="1" applyNumberFormat="1" applyFont="1" applyFill="1" applyBorder="1"/>
    <xf numFmtId="165" fontId="7" fillId="0" borderId="34" xfId="0" applyNumberFormat="1" applyFont="1" applyFill="1" applyBorder="1"/>
    <xf numFmtId="164" fontId="7" fillId="0" borderId="9" xfId="1" applyFont="1" applyFill="1" applyBorder="1" applyAlignment="1">
      <alignment horizontal="right"/>
    </xf>
    <xf numFmtId="0" fontId="6" fillId="4" borderId="32" xfId="0" applyFont="1" applyFill="1" applyBorder="1" applyAlignment="1">
      <alignment horizontal="center"/>
    </xf>
    <xf numFmtId="164" fontId="5" fillId="4" borderId="33" xfId="1" applyFont="1" applyFill="1" applyBorder="1" applyAlignment="1">
      <alignment horizontal="right"/>
    </xf>
    <xf numFmtId="164" fontId="7" fillId="0" borderId="14" xfId="1" applyFont="1" applyFill="1" applyBorder="1"/>
    <xf numFmtId="3" fontId="4" fillId="3" borderId="14" xfId="1" applyNumberFormat="1" applyFont="1" applyFill="1" applyBorder="1"/>
    <xf numFmtId="3" fontId="4" fillId="3" borderId="30" xfId="1" applyNumberFormat="1" applyFont="1" applyFill="1" applyBorder="1"/>
    <xf numFmtId="167" fontId="4" fillId="0" borderId="14" xfId="1" applyNumberFormat="1" applyFont="1" applyFill="1" applyBorder="1"/>
    <xf numFmtId="164" fontId="5" fillId="4" borderId="35" xfId="1" applyFont="1" applyFill="1" applyBorder="1" applyAlignment="1">
      <alignment horizontal="right"/>
    </xf>
    <xf numFmtId="164" fontId="5" fillId="4" borderId="36" xfId="1" applyFont="1" applyFill="1" applyBorder="1" applyAlignment="1">
      <alignment horizontal="right"/>
    </xf>
    <xf numFmtId="164" fontId="4" fillId="0" borderId="31" xfId="1" applyFont="1" applyFill="1" applyBorder="1" applyAlignment="1">
      <alignment horizontal="right"/>
    </xf>
    <xf numFmtId="9" fontId="4" fillId="0" borderId="31" xfId="3" applyFont="1" applyFill="1" applyBorder="1" applyAlignment="1">
      <alignment horizontal="right"/>
    </xf>
    <xf numFmtId="169" fontId="4" fillId="0" borderId="9" xfId="4" applyNumberFormat="1" applyFont="1" applyFill="1" applyBorder="1" applyAlignment="1">
      <alignment horizontal="right"/>
    </xf>
    <xf numFmtId="169" fontId="4" fillId="0" borderId="31" xfId="4" applyNumberFormat="1" applyFont="1" applyFill="1" applyBorder="1" applyAlignment="1">
      <alignment horizontal="right"/>
    </xf>
    <xf numFmtId="164" fontId="4" fillId="0" borderId="9" xfId="1" applyFont="1" applyFill="1" applyBorder="1" applyAlignment="1">
      <alignment horizontal="right"/>
    </xf>
    <xf numFmtId="165" fontId="4" fillId="0" borderId="9" xfId="1" applyNumberFormat="1" applyFont="1" applyFill="1" applyBorder="1" applyAlignment="1">
      <alignment horizontal="right"/>
    </xf>
    <xf numFmtId="0" fontId="0" fillId="0" borderId="0" xfId="0" applyAlignment="1">
      <alignment vertical="center" wrapText="1"/>
    </xf>
    <xf numFmtId="164" fontId="5" fillId="4" borderId="3" xfId="1" applyFont="1" applyFill="1" applyBorder="1" applyAlignment="1">
      <alignment horizontal="right"/>
    </xf>
    <xf numFmtId="0" fontId="1" fillId="4" borderId="37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5">
    <cellStyle name="Komma" xfId="4" builtinId="3"/>
    <cellStyle name="Normal" xfId="0" builtinId="0"/>
    <cellStyle name="Normal_Ark1" xfId="1"/>
    <cellStyle name="Prosent" xfId="3" builtinId="5"/>
    <cellStyle name="Tusenskille_Ark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utsetning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iokj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nnverdier og priser"/>
      <sheetName val="CO2-avgift, grunnavgift"/>
      <sheetName val="CO2-kvoter"/>
      <sheetName val="byggetid levetid rente"/>
      <sheetName val="NOX avgift"/>
    </sheetNames>
    <sheetDataSet>
      <sheetData sheetId="0">
        <row r="11">
          <cell r="D11">
            <v>4.5599999999999996</v>
          </cell>
          <cell r="F11">
            <v>4.0999999999999996</v>
          </cell>
        </row>
        <row r="12">
          <cell r="D12">
            <v>3.42</v>
          </cell>
          <cell r="F12">
            <v>2.91</v>
          </cell>
        </row>
        <row r="13">
          <cell r="D13">
            <v>5.13</v>
          </cell>
          <cell r="F13">
            <v>4.7</v>
          </cell>
        </row>
        <row r="32">
          <cell r="D32">
            <v>29.1</v>
          </cell>
        </row>
        <row r="36">
          <cell r="D36">
            <v>20</v>
          </cell>
        </row>
        <row r="37">
          <cell r="D37">
            <v>18.5</v>
          </cell>
        </row>
        <row r="61">
          <cell r="B61" t="str">
            <v>Kraftpris</v>
          </cell>
          <cell r="D61">
            <v>23</v>
          </cell>
        </row>
        <row r="62">
          <cell r="B62" t="str">
            <v>Nettleie husholdninger</v>
          </cell>
          <cell r="D62">
            <v>27.3</v>
          </cell>
        </row>
        <row r="63">
          <cell r="B63" t="str">
            <v>Nettleie, anlegg over 150 kW</v>
          </cell>
          <cell r="D63">
            <v>21.8</v>
          </cell>
        </row>
      </sheetData>
      <sheetData sheetId="1">
        <row r="8">
          <cell r="L8">
            <v>16.32</v>
          </cell>
        </row>
        <row r="9">
          <cell r="L9">
            <v>0.48</v>
          </cell>
        </row>
      </sheetData>
      <sheetData sheetId="2"/>
      <sheetData sheetId="3">
        <row r="1">
          <cell r="C1">
            <v>1.07973174366617</v>
          </cell>
        </row>
        <row r="35">
          <cell r="D35">
            <v>0.06</v>
          </cell>
        </row>
        <row r="37">
          <cell r="C37">
            <v>15</v>
          </cell>
        </row>
        <row r="38">
          <cell r="C38">
            <v>25</v>
          </cell>
        </row>
      </sheetData>
      <sheetData sheetId="4">
        <row r="12">
          <cell r="H12">
            <v>0.40063917525773196</v>
          </cell>
        </row>
        <row r="13">
          <cell r="H13">
            <v>0.37914146341463423</v>
          </cell>
        </row>
        <row r="14">
          <cell r="H14">
            <v>0.37208297872340423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stnad 2016"/>
      <sheetName val="Driftskostnader"/>
    </sheetNames>
    <sheetDataSet>
      <sheetData sheetId="0">
        <row r="7">
          <cell r="C7">
            <v>1</v>
          </cell>
        </row>
        <row r="10">
          <cell r="N10">
            <v>0.8</v>
          </cell>
          <cell r="R10">
            <v>0.81</v>
          </cell>
        </row>
        <row r="11">
          <cell r="R11">
            <v>0.74210526315789482</v>
          </cell>
        </row>
        <row r="22">
          <cell r="N22">
            <v>1.2048780487804878</v>
          </cell>
          <cell r="R22">
            <v>0.73133701076963487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A2" workbookViewId="0">
      <selection activeCell="G5" sqref="G5"/>
    </sheetView>
  </sheetViews>
  <sheetFormatPr baseColWidth="10" defaultRowHeight="15" x14ac:dyDescent="0.25"/>
  <cols>
    <col min="1" max="1" width="23" customWidth="1"/>
    <col min="7" max="7" width="35.28515625" customWidth="1"/>
    <col min="8" max="11" width="14.140625" customWidth="1"/>
    <col min="12" max="12" width="14.28515625" customWidth="1"/>
    <col min="13" max="13" width="15.5703125" customWidth="1"/>
    <col min="14" max="14" width="16.140625" customWidth="1"/>
    <col min="15" max="15" width="24.42578125" customWidth="1"/>
    <col min="16" max="16" width="28" customWidth="1"/>
  </cols>
  <sheetData>
    <row r="1" spans="1:16" x14ac:dyDescent="0.25">
      <c r="A1" s="45" t="s">
        <v>46</v>
      </c>
      <c r="B1" s="46"/>
      <c r="C1" s="46"/>
      <c r="D1" s="47"/>
      <c r="E1" s="46"/>
    </row>
    <row r="2" spans="1:16" ht="15.75" thickBot="1" x14ac:dyDescent="0.3">
      <c r="A2" s="48"/>
      <c r="B2" s="48" t="s">
        <v>24</v>
      </c>
      <c r="C2" s="49"/>
      <c r="D2" s="51"/>
      <c r="E2" s="51"/>
    </row>
    <row r="3" spans="1:16" x14ac:dyDescent="0.25">
      <c r="A3" s="48" t="s">
        <v>25</v>
      </c>
      <c r="B3" s="46" t="s">
        <v>23</v>
      </c>
      <c r="C3" s="52">
        <f>'[1]byggetid levetid rente'!$D$35</f>
        <v>0.06</v>
      </c>
      <c r="D3" s="51"/>
      <c r="E3" s="51"/>
      <c r="G3" s="61" t="s">
        <v>30</v>
      </c>
      <c r="H3" s="62"/>
      <c r="I3" s="136" t="s">
        <v>51</v>
      </c>
      <c r="J3" s="137"/>
      <c r="K3" s="140" t="s">
        <v>50</v>
      </c>
      <c r="L3" s="141"/>
      <c r="M3" s="141"/>
      <c r="N3" s="137"/>
      <c r="O3" s="32"/>
      <c r="P3" s="32"/>
    </row>
    <row r="4" spans="1:16" x14ac:dyDescent="0.25">
      <c r="A4" s="46"/>
      <c r="B4" s="46"/>
      <c r="C4" s="51"/>
      <c r="D4" s="51"/>
      <c r="E4" s="51"/>
      <c r="F4" s="29"/>
      <c r="G4" s="33"/>
      <c r="H4" s="34" t="s">
        <v>3</v>
      </c>
      <c r="I4" s="126"/>
      <c r="J4" s="135" t="s">
        <v>79</v>
      </c>
      <c r="K4" s="120"/>
      <c r="L4" s="84"/>
      <c r="M4" s="35"/>
      <c r="N4" s="36"/>
      <c r="O4" s="32"/>
      <c r="P4" s="32"/>
    </row>
    <row r="5" spans="1:16" x14ac:dyDescent="0.25">
      <c r="A5" s="48"/>
      <c r="B5" s="48"/>
      <c r="C5" s="49" t="s">
        <v>47</v>
      </c>
      <c r="D5" s="49" t="s">
        <v>48</v>
      </c>
      <c r="E5" s="50"/>
      <c r="F5" s="29"/>
      <c r="G5" s="33" t="s">
        <v>4</v>
      </c>
      <c r="H5" s="81" t="s">
        <v>27</v>
      </c>
      <c r="I5" s="127">
        <v>0.01</v>
      </c>
      <c r="J5" s="127">
        <v>0.01</v>
      </c>
      <c r="K5" s="121">
        <v>0.15</v>
      </c>
      <c r="L5" s="85">
        <v>0.5</v>
      </c>
      <c r="M5" s="37">
        <v>5</v>
      </c>
      <c r="N5" s="38">
        <v>10</v>
      </c>
      <c r="O5" s="40" t="s">
        <v>16</v>
      </c>
      <c r="P5" s="40" t="s">
        <v>15</v>
      </c>
    </row>
    <row r="6" spans="1:16" x14ac:dyDescent="0.25">
      <c r="A6" s="48" t="s">
        <v>21</v>
      </c>
      <c r="B6" s="46" t="s">
        <v>20</v>
      </c>
      <c r="C6" s="51">
        <v>1</v>
      </c>
      <c r="D6" s="51">
        <v>2</v>
      </c>
      <c r="E6" s="51"/>
      <c r="F6" s="29"/>
      <c r="G6" s="86" t="s">
        <v>33</v>
      </c>
      <c r="H6" s="8" t="s">
        <v>5</v>
      </c>
      <c r="I6" s="128">
        <v>4000</v>
      </c>
      <c r="J6" s="128">
        <v>4000</v>
      </c>
      <c r="K6" s="109">
        <v>4000</v>
      </c>
      <c r="L6" s="79">
        <v>4000</v>
      </c>
      <c r="M6" s="79">
        <v>4000</v>
      </c>
      <c r="N6" s="87">
        <v>4000</v>
      </c>
      <c r="O6" t="s">
        <v>74</v>
      </c>
    </row>
    <row r="7" spans="1:16" x14ac:dyDescent="0.25">
      <c r="A7" s="48" t="s">
        <v>22</v>
      </c>
      <c r="B7" s="46" t="s">
        <v>20</v>
      </c>
      <c r="C7" s="53">
        <f>'[1]byggetid levetid rente'!$C$37</f>
        <v>15</v>
      </c>
      <c r="D7" s="51">
        <f>'[1]byggetid levetid rente'!$C$38</f>
        <v>25</v>
      </c>
      <c r="E7" s="51"/>
      <c r="F7" s="29"/>
      <c r="G7" s="86" t="s">
        <v>34</v>
      </c>
      <c r="H7" s="8" t="s">
        <v>5</v>
      </c>
      <c r="I7" s="87">
        <v>500</v>
      </c>
      <c r="J7" s="87">
        <v>500</v>
      </c>
      <c r="K7" s="109">
        <v>500</v>
      </c>
      <c r="L7" s="79">
        <v>500</v>
      </c>
      <c r="M7" s="79">
        <v>500</v>
      </c>
      <c r="N7" s="87">
        <v>500</v>
      </c>
      <c r="O7" t="s">
        <v>74</v>
      </c>
    </row>
    <row r="8" spans="1:16" x14ac:dyDescent="0.25">
      <c r="A8" s="46"/>
      <c r="B8" s="46"/>
      <c r="C8" s="51"/>
      <c r="D8" s="51"/>
      <c r="E8" s="51"/>
      <c r="F8" s="29"/>
      <c r="G8" s="86" t="s">
        <v>32</v>
      </c>
      <c r="H8" s="8" t="s">
        <v>5</v>
      </c>
      <c r="I8" s="87">
        <v>100</v>
      </c>
      <c r="J8" s="87">
        <v>100</v>
      </c>
      <c r="K8" s="109">
        <v>100</v>
      </c>
      <c r="L8" s="79">
        <v>100</v>
      </c>
      <c r="M8" s="79">
        <v>100</v>
      </c>
      <c r="N8" s="87">
        <v>100</v>
      </c>
      <c r="O8" t="s">
        <v>74</v>
      </c>
    </row>
    <row r="9" spans="1:16" x14ac:dyDescent="0.25">
      <c r="A9" s="48"/>
      <c r="B9" s="48"/>
      <c r="C9" s="49" t="s">
        <v>49</v>
      </c>
      <c r="D9" s="49" t="s">
        <v>50</v>
      </c>
      <c r="E9" s="54" t="s">
        <v>51</v>
      </c>
      <c r="F9" s="16"/>
      <c r="G9" s="86" t="s">
        <v>55</v>
      </c>
      <c r="H9" s="8" t="s">
        <v>1</v>
      </c>
      <c r="I9" s="129">
        <f>'[2]Kostnad 2016'!$R$10</f>
        <v>0.81</v>
      </c>
      <c r="J9" s="129">
        <f>'[2]Kostnad 2016'!$R$10</f>
        <v>0.81</v>
      </c>
      <c r="K9" s="110">
        <f>'[2]Kostnad 2016'!$N$10</f>
        <v>0.8</v>
      </c>
      <c r="L9" s="82">
        <v>0.85</v>
      </c>
      <c r="M9" s="82">
        <v>0.85</v>
      </c>
      <c r="N9" s="88">
        <v>0.85</v>
      </c>
      <c r="O9" t="s">
        <v>74</v>
      </c>
      <c r="P9" t="s">
        <v>73</v>
      </c>
    </row>
    <row r="10" spans="1:16" x14ac:dyDescent="0.25">
      <c r="A10" s="48" t="s">
        <v>52</v>
      </c>
      <c r="B10" s="55" t="s">
        <v>26</v>
      </c>
      <c r="C10" s="56">
        <f>'[1]Brennverdier og priser'!$F$12</f>
        <v>2.91</v>
      </c>
      <c r="D10" s="57">
        <f>'[1]Brennverdier og priser'!$F$11</f>
        <v>4.0999999999999996</v>
      </c>
      <c r="E10" s="57">
        <f>'[1]Brennverdier og priser'!$F$13</f>
        <v>4.7</v>
      </c>
      <c r="F10" s="16"/>
      <c r="G10" s="86" t="s">
        <v>56</v>
      </c>
      <c r="H10" s="83" t="s">
        <v>1</v>
      </c>
      <c r="I10" s="129">
        <f>'[2]Kostnad 2016'!$R$11</f>
        <v>0.74210526315789482</v>
      </c>
      <c r="J10" s="129">
        <f>'[2]Kostnad 2016'!$R$11</f>
        <v>0.74210526315789482</v>
      </c>
      <c r="K10" s="110">
        <f>K9/$D$11*$D$10</f>
        <v>0.7192982456140351</v>
      </c>
      <c r="L10" s="82">
        <f t="shared" ref="L10:N10" si="0">L9/$D$11*$D$10</f>
        <v>0.76425438596491235</v>
      </c>
      <c r="M10" s="82">
        <f t="shared" si="0"/>
        <v>0.76425438596491235</v>
      </c>
      <c r="N10" s="88">
        <f t="shared" si="0"/>
        <v>0.76425438596491235</v>
      </c>
      <c r="O10" t="s">
        <v>74</v>
      </c>
    </row>
    <row r="11" spans="1:16" x14ac:dyDescent="0.25">
      <c r="A11" s="58" t="s">
        <v>53</v>
      </c>
      <c r="B11" s="55" t="s">
        <v>26</v>
      </c>
      <c r="C11" s="57">
        <f>'[1]Brennverdier og priser'!$D$12</f>
        <v>3.42</v>
      </c>
      <c r="D11" s="59">
        <f>'[1]Brennverdier og priser'!$D$11</f>
        <v>4.5599999999999996</v>
      </c>
      <c r="E11" s="59">
        <f>'[1]Brennverdier og priser'!$D$13</f>
        <v>5.13</v>
      </c>
      <c r="F11" s="16"/>
      <c r="G11" s="86" t="s">
        <v>31</v>
      </c>
      <c r="H11" s="83" t="s">
        <v>1</v>
      </c>
      <c r="I11" s="88">
        <v>0.98</v>
      </c>
      <c r="J11" s="88">
        <v>0.98</v>
      </c>
      <c r="K11" s="110">
        <v>0.98</v>
      </c>
      <c r="L11" s="82">
        <v>0.98</v>
      </c>
      <c r="M11" s="82">
        <v>0.98</v>
      </c>
      <c r="N11" s="88">
        <v>0.98</v>
      </c>
      <c r="O11" t="s">
        <v>74</v>
      </c>
    </row>
    <row r="12" spans="1:16" x14ac:dyDescent="0.25">
      <c r="A12" s="48" t="s">
        <v>54</v>
      </c>
      <c r="B12" s="55" t="s">
        <v>58</v>
      </c>
      <c r="C12" s="65">
        <f>'[1]Brennverdier og priser'!$D$37</f>
        <v>18.5</v>
      </c>
      <c r="D12" s="65">
        <f>'[1]Brennverdier og priser'!$D$36</f>
        <v>20</v>
      </c>
      <c r="E12" s="65">
        <f>'[1]Brennverdier og priser'!$D$32</f>
        <v>29.1</v>
      </c>
      <c r="F12" s="16"/>
      <c r="G12" s="2" t="s">
        <v>6</v>
      </c>
      <c r="H12" s="3"/>
      <c r="I12" s="119"/>
      <c r="J12" s="119"/>
      <c r="K12" s="122"/>
      <c r="L12" s="71"/>
      <c r="M12" s="71"/>
      <c r="N12" s="72"/>
    </row>
    <row r="13" spans="1:16" ht="15" customHeight="1" x14ac:dyDescent="0.25">
      <c r="A13" s="27" t="s">
        <v>9</v>
      </c>
      <c r="B13" s="55" t="s">
        <v>58</v>
      </c>
      <c r="C13" s="66">
        <f>'[1]NOX avgift'!$H$12</f>
        <v>0.40063917525773196</v>
      </c>
      <c r="D13" s="67">
        <f>'[1]NOX avgift'!$H$13</f>
        <v>0.37914146341463423</v>
      </c>
      <c r="E13" s="67">
        <f>'[1]NOX avgift'!$H$14</f>
        <v>0.37208297872340423</v>
      </c>
      <c r="F13" s="16"/>
      <c r="G13" s="4" t="s">
        <v>35</v>
      </c>
      <c r="H13" s="5" t="s">
        <v>28</v>
      </c>
      <c r="I13" s="73">
        <v>9717.5856929955298</v>
      </c>
      <c r="J13" s="73">
        <f>9717.58569299553*(1+C20)</f>
        <v>12146.982116244413</v>
      </c>
      <c r="K13" s="112">
        <v>6802.3099850968702</v>
      </c>
      <c r="L13" s="6">
        <v>6393.1291628506797</v>
      </c>
      <c r="M13" s="6">
        <v>5817.1930789301468</v>
      </c>
      <c r="N13" s="73">
        <v>5549.8211624441137</v>
      </c>
      <c r="O13" t="s">
        <v>74</v>
      </c>
      <c r="P13" s="138" t="s">
        <v>78</v>
      </c>
    </row>
    <row r="14" spans="1:16" x14ac:dyDescent="0.25">
      <c r="A14" s="27" t="s">
        <v>44</v>
      </c>
      <c r="B14" s="16" t="s">
        <v>45</v>
      </c>
      <c r="C14" s="44">
        <f>'[1]byggetid levetid rente'!$C$1</f>
        <v>1.07973174366617</v>
      </c>
      <c r="D14" s="60"/>
      <c r="E14" s="60"/>
      <c r="F14" s="28"/>
      <c r="G14" s="4" t="s">
        <v>36</v>
      </c>
      <c r="H14" s="5" t="s">
        <v>28</v>
      </c>
      <c r="I14" s="130">
        <v>3054.5611028315948</v>
      </c>
      <c r="J14" s="130">
        <f>3054.56110283159*(1+C20)</f>
        <v>3818.2013785394875</v>
      </c>
      <c r="K14" s="123">
        <v>1458.7175856929957</v>
      </c>
      <c r="L14" s="30">
        <v>1341.0268256333832</v>
      </c>
      <c r="M14" s="30">
        <v>983.6356184798808</v>
      </c>
      <c r="N14" s="31">
        <v>666.19448584202689</v>
      </c>
      <c r="O14" t="s">
        <v>74</v>
      </c>
      <c r="P14" s="138"/>
    </row>
    <row r="15" spans="1:16" x14ac:dyDescent="0.25">
      <c r="A15" s="27" t="str">
        <f>'[1]Brennverdier og priser'!$B$61</f>
        <v>Kraftpris</v>
      </c>
      <c r="B15" s="16" t="s">
        <v>59</v>
      </c>
      <c r="C15" s="68">
        <f>'[1]Brennverdier og priser'!$D$61</f>
        <v>23</v>
      </c>
      <c r="D15" s="60"/>
      <c r="E15" s="60"/>
      <c r="F15" s="28"/>
      <c r="G15" s="4" t="s">
        <v>37</v>
      </c>
      <c r="H15" s="5" t="s">
        <v>28</v>
      </c>
      <c r="I15" s="130">
        <v>3054.5611028315948</v>
      </c>
      <c r="J15" s="130">
        <f>3054.56110283159*(1+C20)</f>
        <v>3818.2013785394875</v>
      </c>
      <c r="K15" s="123">
        <v>1458.7175856929957</v>
      </c>
      <c r="L15" s="30">
        <v>1341.0268256333832</v>
      </c>
      <c r="M15" s="30">
        <v>983.6356184798808</v>
      </c>
      <c r="N15" s="31">
        <v>666.19448584202689</v>
      </c>
      <c r="O15" t="s">
        <v>74</v>
      </c>
      <c r="P15" s="138"/>
    </row>
    <row r="16" spans="1:16" x14ac:dyDescent="0.25">
      <c r="A16" s="69" t="str">
        <f>'[1]Brennverdier og priser'!$B$62</f>
        <v>Nettleie husholdninger</v>
      </c>
      <c r="B16" s="16" t="s">
        <v>59</v>
      </c>
      <c r="C16" s="68">
        <f>'[1]Brennverdier og priser'!$D$62</f>
        <v>27.3</v>
      </c>
      <c r="D16" s="60"/>
      <c r="E16" s="60"/>
      <c r="G16" s="7" t="s">
        <v>7</v>
      </c>
      <c r="H16" s="5" t="s">
        <v>28</v>
      </c>
      <c r="I16" s="73">
        <f t="shared" ref="I16:N16" si="1">SUM(I13:I15)*(((1+$C$3)*((1+$C$3)^$C$6-1))/($C$3*$C$6))-SUM(I13:I15)</f>
        <v>949.60247391953817</v>
      </c>
      <c r="J16" s="73">
        <f t="shared" si="1"/>
        <v>1187.0030923994236</v>
      </c>
      <c r="K16" s="112">
        <f t="shared" si="1"/>
        <v>583.18470938898099</v>
      </c>
      <c r="L16" s="6">
        <f t="shared" si="1"/>
        <v>544.51096884705476</v>
      </c>
      <c r="M16" s="6">
        <f t="shared" si="1"/>
        <v>467.0678589534009</v>
      </c>
      <c r="N16" s="73">
        <f t="shared" si="1"/>
        <v>412.9326080476967</v>
      </c>
    </row>
    <row r="17" spans="1:16" x14ac:dyDescent="0.25">
      <c r="A17" s="69" t="str">
        <f>'[1]Brennverdier og priser'!$B$63</f>
        <v>Nettleie, anlegg over 150 kW</v>
      </c>
      <c r="B17" s="16" t="s">
        <v>59</v>
      </c>
      <c r="C17" s="68">
        <f>'[1]Brennverdier og priser'!$D$63</f>
        <v>21.8</v>
      </c>
      <c r="D17" s="60"/>
      <c r="E17" s="60"/>
      <c r="G17" s="77" t="s">
        <v>8</v>
      </c>
      <c r="H17" s="11" t="s">
        <v>28</v>
      </c>
      <c r="I17" s="89">
        <f>SUM(I13:I16)</f>
        <v>16776.310372578257</v>
      </c>
      <c r="J17" s="89">
        <f>SUM(J13:J16)</f>
        <v>20970.387965722814</v>
      </c>
      <c r="K17" s="113">
        <f>SUM(K13:K16)</f>
        <v>10302.929865871842</v>
      </c>
      <c r="L17" s="78">
        <f t="shared" ref="L17:N17" si="2">SUM(L13:L16)</f>
        <v>9619.6937829645012</v>
      </c>
      <c r="M17" s="78">
        <f t="shared" si="2"/>
        <v>8251.5321748433089</v>
      </c>
      <c r="N17" s="89">
        <f t="shared" si="2"/>
        <v>7295.1427421758635</v>
      </c>
    </row>
    <row r="18" spans="1:16" x14ac:dyDescent="0.25">
      <c r="A18" s="69" t="s">
        <v>61</v>
      </c>
      <c r="B18" s="16" t="s">
        <v>59</v>
      </c>
      <c r="C18" s="68">
        <f>'[1]CO2-avgift, grunnavgift'!$L$8</f>
        <v>16.32</v>
      </c>
      <c r="D18" s="60"/>
      <c r="E18" s="60"/>
      <c r="G18" s="1" t="s">
        <v>39</v>
      </c>
      <c r="H18" s="8" t="s">
        <v>29</v>
      </c>
      <c r="I18" s="128">
        <f>750</f>
        <v>750</v>
      </c>
      <c r="J18" s="128">
        <f>750*(1+C20)</f>
        <v>937.5</v>
      </c>
      <c r="K18" s="109">
        <f>600</f>
        <v>600</v>
      </c>
      <c r="L18" s="9">
        <f>434.278773656312</f>
        <v>434.27877365631201</v>
      </c>
      <c r="M18" s="9">
        <f>214.668638949852</f>
        <v>214.66863894985201</v>
      </c>
      <c r="N18" s="90">
        <f>110</f>
        <v>110</v>
      </c>
      <c r="O18" t="s">
        <v>76</v>
      </c>
    </row>
    <row r="19" spans="1:16" ht="15" customHeight="1" x14ac:dyDescent="0.25">
      <c r="A19" s="69" t="s">
        <v>62</v>
      </c>
      <c r="B19" s="16" t="s">
        <v>59</v>
      </c>
      <c r="C19" s="28">
        <f>'[1]CO2-avgift, grunnavgift'!$L$9</f>
        <v>0.48</v>
      </c>
      <c r="D19" s="60"/>
      <c r="E19" s="60"/>
      <c r="G19" s="1" t="s">
        <v>40</v>
      </c>
      <c r="H19" s="8" t="s">
        <v>29</v>
      </c>
      <c r="I19" s="131">
        <f>400*C14</f>
        <v>431.89269746646801</v>
      </c>
      <c r="J19" s="131">
        <f>400*C14*(1+C20)</f>
        <v>539.86587183308507</v>
      </c>
      <c r="K19" s="124">
        <f>30*C14</f>
        <v>32.391952309985101</v>
      </c>
      <c r="L19" s="80">
        <f>8*C14</f>
        <v>8.6378539493293598</v>
      </c>
      <c r="M19" s="80">
        <f>8*C14</f>
        <v>8.6378539493293598</v>
      </c>
      <c r="N19" s="91">
        <f>2*C14</f>
        <v>2.1594634873323399</v>
      </c>
      <c r="O19" t="s">
        <v>74</v>
      </c>
      <c r="P19" s="138" t="s">
        <v>78</v>
      </c>
    </row>
    <row r="20" spans="1:16" x14ac:dyDescent="0.25">
      <c r="A20" s="69" t="s">
        <v>80</v>
      </c>
      <c r="B20" s="16" t="s">
        <v>81</v>
      </c>
      <c r="C20" s="44">
        <v>0.25</v>
      </c>
      <c r="D20" s="60"/>
      <c r="E20" s="60"/>
      <c r="G20" s="1" t="s">
        <v>38</v>
      </c>
      <c r="H20" s="8" t="s">
        <v>29</v>
      </c>
      <c r="I20" s="131">
        <f>400*C14</f>
        <v>431.89269746646801</v>
      </c>
      <c r="J20" s="131">
        <f>400*C14*(1+C20)</f>
        <v>539.86587183308507</v>
      </c>
      <c r="K20" s="124">
        <f>30*C14</f>
        <v>32.391952309985101</v>
      </c>
      <c r="L20" s="80">
        <f>8*C14</f>
        <v>8.6378539493293598</v>
      </c>
      <c r="M20" s="80">
        <f>8*C14</f>
        <v>8.6378539493293598</v>
      </c>
      <c r="N20" s="91">
        <f>2*C14</f>
        <v>2.1594634873323399</v>
      </c>
      <c r="O20" t="s">
        <v>74</v>
      </c>
      <c r="P20" s="138"/>
    </row>
    <row r="21" spans="1:16" x14ac:dyDescent="0.25">
      <c r="A21" s="106"/>
      <c r="B21" s="16"/>
      <c r="C21" s="44"/>
      <c r="D21" s="60"/>
      <c r="E21" s="60"/>
      <c r="G21" s="2" t="s">
        <v>63</v>
      </c>
      <c r="H21" s="5"/>
      <c r="I21" s="132"/>
      <c r="J21" s="132"/>
      <c r="K21" s="123"/>
      <c r="L21" s="30"/>
      <c r="M21" s="30"/>
      <c r="N21" s="31"/>
      <c r="P21" s="134"/>
    </row>
    <row r="22" spans="1:16" x14ac:dyDescent="0.25">
      <c r="A22" s="106"/>
      <c r="B22" s="16"/>
      <c r="C22" s="44"/>
      <c r="D22" s="60"/>
      <c r="E22" s="60"/>
      <c r="G22" s="4" t="s">
        <v>60</v>
      </c>
      <c r="H22" s="5" t="s">
        <v>68</v>
      </c>
      <c r="I22" s="92">
        <f>1/I9</f>
        <v>1.2345679012345678</v>
      </c>
      <c r="J22" s="92">
        <f>1/J9</f>
        <v>1.2345679012345678</v>
      </c>
      <c r="K22" s="114">
        <f>1/K9</f>
        <v>1.25</v>
      </c>
      <c r="L22" s="74">
        <f t="shared" ref="L22:N22" si="3">1/L9</f>
        <v>1.1764705882352942</v>
      </c>
      <c r="M22" s="74">
        <f t="shared" si="3"/>
        <v>1.1764705882352942</v>
      </c>
      <c r="N22" s="92">
        <f t="shared" si="3"/>
        <v>1.1764705882352942</v>
      </c>
    </row>
    <row r="23" spans="1:16" x14ac:dyDescent="0.25">
      <c r="A23" s="106"/>
      <c r="B23" s="16"/>
      <c r="C23" s="44"/>
      <c r="D23" s="60"/>
      <c r="E23" s="60"/>
      <c r="G23" s="4" t="s">
        <v>57</v>
      </c>
      <c r="H23" s="5" t="s">
        <v>58</v>
      </c>
      <c r="I23" s="41">
        <f>$E$12</f>
        <v>29.1</v>
      </c>
      <c r="J23" s="41">
        <f>$E$12*(1+C20)</f>
        <v>36.375</v>
      </c>
      <c r="K23" s="115">
        <f>$D$12</f>
        <v>20</v>
      </c>
      <c r="L23" s="10">
        <f t="shared" ref="L23:N23" si="4">$D$12</f>
        <v>20</v>
      </c>
      <c r="M23" s="10">
        <f t="shared" si="4"/>
        <v>20</v>
      </c>
      <c r="N23" s="41">
        <f t="shared" si="4"/>
        <v>20</v>
      </c>
    </row>
    <row r="24" spans="1:16" x14ac:dyDescent="0.25">
      <c r="A24" s="106"/>
      <c r="B24" s="16"/>
      <c r="C24" s="44"/>
      <c r="D24" s="60"/>
      <c r="E24" s="60"/>
      <c r="G24" s="76" t="s">
        <v>9</v>
      </c>
      <c r="H24" s="5" t="s">
        <v>58</v>
      </c>
      <c r="I24" s="41">
        <v>0</v>
      </c>
      <c r="J24" s="41">
        <v>0</v>
      </c>
      <c r="K24" s="115">
        <v>0</v>
      </c>
      <c r="L24" s="10">
        <v>0</v>
      </c>
      <c r="M24" s="10">
        <v>0</v>
      </c>
      <c r="N24" s="41">
        <f>D13</f>
        <v>0.37914146341463423</v>
      </c>
    </row>
    <row r="25" spans="1:16" x14ac:dyDescent="0.25">
      <c r="A25" s="107"/>
      <c r="B25" s="16"/>
      <c r="C25" s="16"/>
      <c r="D25" s="16"/>
      <c r="E25" s="28"/>
      <c r="G25" s="7" t="s">
        <v>64</v>
      </c>
      <c r="H25" s="5" t="s">
        <v>2</v>
      </c>
      <c r="I25" s="41">
        <f>I22*(I23+I24)</f>
        <v>35.925925925925924</v>
      </c>
      <c r="J25" s="41">
        <f>J22*(J23+J24)</f>
        <v>44.907407407407405</v>
      </c>
      <c r="K25" s="115">
        <f>K22*(K23+K24)</f>
        <v>25</v>
      </c>
      <c r="L25" s="10">
        <f t="shared" ref="L25:N25" si="5">L22*(L23+L24)</f>
        <v>23.529411764705884</v>
      </c>
      <c r="M25" s="10">
        <f t="shared" si="5"/>
        <v>23.529411764705884</v>
      </c>
      <c r="N25" s="41">
        <f t="shared" si="5"/>
        <v>23.975460545193688</v>
      </c>
    </row>
    <row r="26" spans="1:16" x14ac:dyDescent="0.25">
      <c r="G26" s="2" t="s">
        <v>65</v>
      </c>
      <c r="H26" s="5"/>
      <c r="I26" s="132"/>
      <c r="J26" s="132"/>
      <c r="K26" s="115"/>
      <c r="L26" s="10"/>
      <c r="M26" s="10"/>
      <c r="N26" s="41"/>
    </row>
    <row r="27" spans="1:16" x14ac:dyDescent="0.25">
      <c r="G27" s="4" t="s">
        <v>72</v>
      </c>
      <c r="H27" s="5" t="s">
        <v>67</v>
      </c>
      <c r="I27" s="41">
        <f>1/I11</f>
        <v>1.0204081632653061</v>
      </c>
      <c r="J27" s="41">
        <f>1/J11</f>
        <v>1.0204081632653061</v>
      </c>
      <c r="K27" s="115">
        <f>1/K11</f>
        <v>1.0204081632653061</v>
      </c>
      <c r="L27" s="10">
        <f t="shared" ref="L27:N27" si="6">1/L11</f>
        <v>1.0204081632653061</v>
      </c>
      <c r="M27" s="10">
        <f t="shared" si="6"/>
        <v>1.0204081632653061</v>
      </c>
      <c r="N27" s="41">
        <f t="shared" si="6"/>
        <v>1.0204081632653061</v>
      </c>
    </row>
    <row r="28" spans="1:16" x14ac:dyDescent="0.25">
      <c r="B28" s="63"/>
      <c r="D28" s="63"/>
      <c r="F28" s="70"/>
      <c r="G28" s="4" t="s">
        <v>69</v>
      </c>
      <c r="H28" s="5" t="s">
        <v>59</v>
      </c>
      <c r="I28" s="41">
        <f>$C$15</f>
        <v>23</v>
      </c>
      <c r="J28" s="41">
        <f>$C$15*(1+C20)</f>
        <v>28.75</v>
      </c>
      <c r="K28" s="115">
        <f>$C$15</f>
        <v>23</v>
      </c>
      <c r="L28" s="10">
        <f t="shared" ref="L28:N28" si="7">$C$15</f>
        <v>23</v>
      </c>
      <c r="M28" s="10">
        <f t="shared" si="7"/>
        <v>23</v>
      </c>
      <c r="N28" s="41">
        <f t="shared" si="7"/>
        <v>23</v>
      </c>
    </row>
    <row r="29" spans="1:16" x14ac:dyDescent="0.25">
      <c r="B29" s="63"/>
      <c r="D29" s="63"/>
      <c r="F29" s="70"/>
      <c r="G29" s="4" t="s">
        <v>70</v>
      </c>
      <c r="H29" s="5" t="s">
        <v>59</v>
      </c>
      <c r="I29" s="41">
        <f>C16</f>
        <v>27.3</v>
      </c>
      <c r="J29" s="41">
        <f>C16*(1+C20)</f>
        <v>34.125</v>
      </c>
      <c r="K29" s="115">
        <f>C16</f>
        <v>27.3</v>
      </c>
      <c r="L29" s="10">
        <f>$C$17</f>
        <v>21.8</v>
      </c>
      <c r="M29" s="10">
        <f t="shared" ref="M29:N29" si="8">$C$17</f>
        <v>21.8</v>
      </c>
      <c r="N29" s="41">
        <f t="shared" si="8"/>
        <v>21.8</v>
      </c>
    </row>
    <row r="30" spans="1:16" x14ac:dyDescent="0.25">
      <c r="B30" s="63"/>
      <c r="D30" s="63"/>
      <c r="F30" s="70"/>
      <c r="G30" s="4" t="s">
        <v>71</v>
      </c>
      <c r="H30" s="5" t="s">
        <v>59</v>
      </c>
      <c r="I30" s="92">
        <f>C18</f>
        <v>16.32</v>
      </c>
      <c r="J30" s="92">
        <f>C18*(1+C20)</f>
        <v>20.399999999999999</v>
      </c>
      <c r="K30" s="114">
        <f>C18</f>
        <v>16.32</v>
      </c>
      <c r="L30" s="74">
        <f>$C$19</f>
        <v>0.48</v>
      </c>
      <c r="M30" s="74">
        <f t="shared" ref="M30:N30" si="9">$C$19</f>
        <v>0.48</v>
      </c>
      <c r="N30" s="92">
        <f t="shared" si="9"/>
        <v>0.48</v>
      </c>
    </row>
    <row r="31" spans="1:16" x14ac:dyDescent="0.25">
      <c r="B31" s="63"/>
      <c r="D31" s="63"/>
      <c r="F31" s="70"/>
      <c r="G31" s="7" t="s">
        <v>66</v>
      </c>
      <c r="H31" s="11" t="s">
        <v>2</v>
      </c>
      <c r="I31" s="42">
        <f>SUM(I28:I30)*I27</f>
        <v>67.979591836734699</v>
      </c>
      <c r="J31" s="42">
        <f>SUM(J28:J30)*J27</f>
        <v>84.974489795918373</v>
      </c>
      <c r="K31" s="116">
        <f>SUM(K28:K30)*K27</f>
        <v>67.979591836734699</v>
      </c>
      <c r="L31" s="12">
        <f t="shared" ref="L31:N31" si="10">SUM(L28:L30)*L27</f>
        <v>46.204081632653057</v>
      </c>
      <c r="M31" s="12">
        <f t="shared" si="10"/>
        <v>46.204081632653057</v>
      </c>
      <c r="N31" s="42">
        <f t="shared" si="10"/>
        <v>46.204081632653057</v>
      </c>
    </row>
    <row r="32" spans="1:16" x14ac:dyDescent="0.25">
      <c r="D32" s="64"/>
      <c r="G32" s="1" t="s">
        <v>41</v>
      </c>
      <c r="H32" s="8" t="s">
        <v>2</v>
      </c>
      <c r="I32" s="133">
        <f>'[2]Kostnad 2016'!$R$22</f>
        <v>0.73133701076963487</v>
      </c>
      <c r="J32" s="133">
        <f>'[2]Kostnad 2016'!$R$22</f>
        <v>0.73133701076963487</v>
      </c>
      <c r="K32" s="125">
        <f>'[2]Kostnad 2016'!$N$22</f>
        <v>1.2048780487804878</v>
      </c>
      <c r="L32" s="6">
        <v>1.19295888308336</v>
      </c>
      <c r="M32" s="6">
        <v>1.1791433725253955</v>
      </c>
      <c r="N32" s="75">
        <v>1.1710027100271003</v>
      </c>
      <c r="O32" t="s">
        <v>76</v>
      </c>
    </row>
    <row r="33" spans="4:16" x14ac:dyDescent="0.25">
      <c r="D33" s="64"/>
      <c r="G33" s="1" t="s">
        <v>42</v>
      </c>
      <c r="H33" s="8" t="s">
        <v>2</v>
      </c>
      <c r="I33" s="94">
        <f>0.1*C14</f>
        <v>0.10797317436661701</v>
      </c>
      <c r="J33" s="94">
        <f>0.1*D14</f>
        <v>0</v>
      </c>
      <c r="K33" s="117">
        <v>0.1</v>
      </c>
      <c r="L33" s="93">
        <v>0.1</v>
      </c>
      <c r="M33" s="93">
        <v>0.1</v>
      </c>
      <c r="N33" s="94">
        <v>0.1</v>
      </c>
      <c r="O33" t="s">
        <v>74</v>
      </c>
      <c r="P33" s="138" t="s">
        <v>75</v>
      </c>
    </row>
    <row r="34" spans="4:16" x14ac:dyDescent="0.25">
      <c r="G34" s="1" t="s">
        <v>43</v>
      </c>
      <c r="H34" s="8" t="s">
        <v>2</v>
      </c>
      <c r="I34" s="94">
        <f>0.1*C14</f>
        <v>0.10797317436661701</v>
      </c>
      <c r="J34" s="94">
        <f>0.1*D14</f>
        <v>0</v>
      </c>
      <c r="K34" s="117">
        <v>0.1</v>
      </c>
      <c r="L34" s="93">
        <v>0.1</v>
      </c>
      <c r="M34" s="93">
        <v>0.1</v>
      </c>
      <c r="N34" s="94">
        <v>0.1</v>
      </c>
      <c r="O34" t="s">
        <v>74</v>
      </c>
      <c r="P34" s="138"/>
    </row>
    <row r="35" spans="4:16" ht="15.75" thickBot="1" x14ac:dyDescent="0.3">
      <c r="G35" s="13" t="s">
        <v>18</v>
      </c>
      <c r="H35" s="14" t="s">
        <v>2</v>
      </c>
      <c r="I35" s="43">
        <f>(I42+I43+I44+I45)/I46</f>
        <v>128.76621946917413</v>
      </c>
      <c r="J35" s="43">
        <f>(J42+J43+J44+J45)/J46</f>
        <v>160.78229281559962</v>
      </c>
      <c r="K35" s="118">
        <f>(K42+K43+K44+K45)/K46</f>
        <v>78.25940174257785</v>
      </c>
      <c r="L35" s="15">
        <f t="shared" ref="L35:N35" si="11">(L42+L43+L44+L45)/L46</f>
        <v>64.063524169447518</v>
      </c>
      <c r="M35" s="15">
        <f t="shared" si="11"/>
        <v>55.012632424835346</v>
      </c>
      <c r="N35" s="43">
        <f t="shared" si="11"/>
        <v>49.967270256648369</v>
      </c>
    </row>
    <row r="36" spans="4:16" ht="55.5" customHeight="1" x14ac:dyDescent="0.25">
      <c r="G36" s="2" t="s">
        <v>17</v>
      </c>
      <c r="H36" s="3"/>
      <c r="I36" s="119">
        <v>0.98</v>
      </c>
      <c r="J36" s="119">
        <v>0.98</v>
      </c>
      <c r="K36" s="111">
        <v>0.98</v>
      </c>
      <c r="L36" s="108">
        <v>0.98</v>
      </c>
      <c r="M36" s="108">
        <v>0.98</v>
      </c>
      <c r="N36" s="119">
        <v>0.98</v>
      </c>
      <c r="O36" s="139" t="s">
        <v>77</v>
      </c>
      <c r="P36" s="138"/>
    </row>
    <row r="37" spans="4:16" ht="15.75" thickBot="1" x14ac:dyDescent="0.3">
      <c r="G37" s="13" t="s">
        <v>19</v>
      </c>
      <c r="H37" s="14" t="s">
        <v>2</v>
      </c>
      <c r="I37" s="43">
        <f t="shared" ref="I37:N37" si="12">I35*I36</f>
        <v>126.19089507979065</v>
      </c>
      <c r="J37" s="43">
        <f t="shared" ref="J37" si="13">J35*J36</f>
        <v>157.56664695928762</v>
      </c>
      <c r="K37" s="118">
        <f t="shared" si="12"/>
        <v>76.694213707726291</v>
      </c>
      <c r="L37" s="15">
        <f t="shared" si="12"/>
        <v>62.782253686058567</v>
      </c>
      <c r="M37" s="15">
        <f t="shared" si="12"/>
        <v>53.912379776338639</v>
      </c>
      <c r="N37" s="43">
        <f t="shared" si="12"/>
        <v>48.967924851515399</v>
      </c>
    </row>
    <row r="38" spans="4:16" x14ac:dyDescent="0.25">
      <c r="M38" s="19"/>
      <c r="N38" s="19"/>
    </row>
    <row r="39" spans="4:16" x14ac:dyDescent="0.25">
      <c r="G39" s="17"/>
      <c r="H39" s="18"/>
      <c r="I39" s="18"/>
      <c r="J39" s="18"/>
      <c r="K39" s="19"/>
      <c r="L39" s="19"/>
      <c r="M39" s="19"/>
      <c r="N39" s="19"/>
    </row>
    <row r="40" spans="4:16" x14ac:dyDescent="0.25">
      <c r="G40" s="16"/>
      <c r="H40" s="16"/>
      <c r="I40" s="16"/>
      <c r="J40" s="16"/>
      <c r="K40" s="16"/>
      <c r="L40" s="16"/>
      <c r="M40" s="16"/>
      <c r="N40" s="16"/>
    </row>
    <row r="41" spans="4:16" x14ac:dyDescent="0.25">
      <c r="G41" s="100" t="s">
        <v>11</v>
      </c>
      <c r="H41" s="101"/>
      <c r="I41" s="101"/>
      <c r="J41" s="101"/>
      <c r="K41" s="102"/>
      <c r="L41" s="102"/>
      <c r="M41" s="102"/>
      <c r="N41" s="102"/>
    </row>
    <row r="42" spans="4:16" x14ac:dyDescent="0.25">
      <c r="G42" s="20" t="str">
        <f>G12</f>
        <v>Investeringskostnader</v>
      </c>
      <c r="H42" s="21" t="s">
        <v>12</v>
      </c>
      <c r="I42" s="22">
        <f>I17*100*1000*I5</f>
        <v>16776310.372578256</v>
      </c>
      <c r="J42" s="22">
        <f>J17*100*1000*J5</f>
        <v>20970387.965722814</v>
      </c>
      <c r="K42" s="22">
        <f t="shared" ref="K42:N42" si="14">K17*100*1000*K5</f>
        <v>154543947.98807761</v>
      </c>
      <c r="L42" s="22">
        <f t="shared" si="14"/>
        <v>480984689.14822507</v>
      </c>
      <c r="M42" s="22">
        <f t="shared" si="14"/>
        <v>4125766087.4216547</v>
      </c>
      <c r="N42" s="22">
        <f t="shared" si="14"/>
        <v>7295142742.1758642</v>
      </c>
    </row>
    <row r="43" spans="4:16" x14ac:dyDescent="0.25">
      <c r="G43" s="23" t="s">
        <v>0</v>
      </c>
      <c r="H43" s="24" t="s">
        <v>12</v>
      </c>
      <c r="I43" s="25">
        <f>-PV($C$3,$C$7,SUM(I18:I20)*100*1000*I5)</f>
        <v>15673485.56836861</v>
      </c>
      <c r="J43" s="25">
        <f>-PV($C$3,$C$7,SUM(J18:J20)*100*1000*J5)</f>
        <v>19591856.960460767</v>
      </c>
      <c r="K43" s="25">
        <f t="shared" ref="K43:N43" si="15">-PV($C$3,$C$7,SUM(K18:K20)*100*1000*K5)</f>
        <v>96848202.070677146</v>
      </c>
      <c r="L43" s="25">
        <f t="shared" si="15"/>
        <v>219280477.81960872</v>
      </c>
      <c r="M43" s="25">
        <f t="shared" si="15"/>
        <v>1126350623.9458473</v>
      </c>
      <c r="N43" s="25">
        <f t="shared" si="15"/>
        <v>1110293882.7893238</v>
      </c>
    </row>
    <row r="44" spans="4:16" x14ac:dyDescent="0.25">
      <c r="G44" s="23" t="s">
        <v>10</v>
      </c>
      <c r="H44" s="24" t="s">
        <v>12</v>
      </c>
      <c r="I44" s="25">
        <f>-PV($C$3,$C$7,I5*1000*(I32*I6*I9+I33*I7*I11+I8*I34*I11))</f>
        <v>236300.97405671381</v>
      </c>
      <c r="J44" s="25">
        <f>-PV($C$3,$C$7,J5*1000*(J32*J6*J9+J33*J7*J11+J8*J34*J11))</f>
        <v>230134.83941845514</v>
      </c>
      <c r="K44" s="25">
        <f t="shared" ref="K44:N44" si="16">-PV($C$3,$C$7,K5*1000*(K32*K6*K9+K33*K7*K11+K8*K34*K11))</f>
        <v>5702658.3286893014</v>
      </c>
      <c r="L44" s="25">
        <f t="shared" si="16"/>
        <v>19982273.41813267</v>
      </c>
      <c r="M44" s="25">
        <f t="shared" si="16"/>
        <v>197541679.64798754</v>
      </c>
      <c r="N44" s="25">
        <f t="shared" si="16"/>
        <v>392395178.49828243</v>
      </c>
    </row>
    <row r="45" spans="4:16" x14ac:dyDescent="0.25">
      <c r="G45" s="23" t="str">
        <f>G31</f>
        <v>Sum brensels- og utslippskostnader el</v>
      </c>
      <c r="H45" s="24" t="s">
        <v>12</v>
      </c>
      <c r="I45" s="25">
        <f>-PV($C$3,$C$7,I5*1000*(I25*I6*I9+I11*I31*I7+I11*I8*I31))</f>
        <v>15187237.987110348</v>
      </c>
      <c r="J45" s="25">
        <f>-PV($C$3,$C$7,J5*1000*(J25*J6*J9+J11*J31*J7+J11*J8*J31))</f>
        <v>18984047.483887933</v>
      </c>
      <c r="K45" s="25">
        <f t="shared" ref="K45:N45" si="17">-PV($C$3,$C$7,K5*1000*(K25*K6*K9+K11*K31*K7+K11*K8*K31))</f>
        <v>174779690.3335894</v>
      </c>
      <c r="L45" s="25">
        <f t="shared" si="17"/>
        <v>520421149.75911349</v>
      </c>
      <c r="M45" s="25">
        <f t="shared" si="17"/>
        <v>5204211497.5911341</v>
      </c>
      <c r="N45" s="25">
        <f t="shared" si="17"/>
        <v>10555715646.952646</v>
      </c>
    </row>
    <row r="46" spans="4:16" x14ac:dyDescent="0.25">
      <c r="G46" s="103" t="s">
        <v>13</v>
      </c>
      <c r="H46" s="104" t="s">
        <v>14</v>
      </c>
      <c r="I46" s="105">
        <f>-PV($C$3,$C$7,I5*1000*(I6*I9+I11*I7+I11*I8))</f>
        <v>371784.89125072525</v>
      </c>
      <c r="J46" s="105">
        <f>-PV($C$3,$C$7,J5*1000*(J6*J9+J11*J7+J11*J8))</f>
        <v>371784.89125072525</v>
      </c>
      <c r="K46" s="105">
        <f t="shared" ref="K46:N46" si="18">-PV($C$3,$C$7,K5*1000*(K6*K9+K11*K7+K11*K8))</f>
        <v>5518499.8748344332</v>
      </c>
      <c r="L46" s="105">
        <f t="shared" si="18"/>
        <v>19366224.481555544</v>
      </c>
      <c r="M46" s="105">
        <f t="shared" si="18"/>
        <v>193662244.81555542</v>
      </c>
      <c r="N46" s="105">
        <f t="shared" si="18"/>
        <v>387324489.63111085</v>
      </c>
    </row>
    <row r="47" spans="4:16" x14ac:dyDescent="0.25">
      <c r="G47" s="95"/>
      <c r="H47" s="96"/>
      <c r="I47" s="96"/>
      <c r="J47" s="96"/>
      <c r="K47" s="97"/>
      <c r="L47" s="97"/>
      <c r="M47" s="97"/>
      <c r="N47" s="97"/>
    </row>
    <row r="48" spans="4:16" x14ac:dyDescent="0.25">
      <c r="G48" s="17"/>
      <c r="H48" s="98"/>
      <c r="I48" s="98"/>
      <c r="J48" s="98"/>
      <c r="K48" s="19"/>
      <c r="L48" s="19"/>
      <c r="M48" s="19"/>
      <c r="N48" s="19"/>
    </row>
    <row r="49" spans="7:14" x14ac:dyDescent="0.25">
      <c r="G49" s="26"/>
      <c r="H49" s="98"/>
      <c r="I49" s="98"/>
      <c r="J49" s="98"/>
      <c r="K49" s="25"/>
      <c r="L49" s="25"/>
      <c r="M49" s="25"/>
      <c r="N49" s="25"/>
    </row>
    <row r="50" spans="7:14" x14ac:dyDescent="0.25">
      <c r="G50" s="95"/>
      <c r="H50" s="99"/>
      <c r="I50" s="99"/>
      <c r="J50" s="99"/>
      <c r="K50" s="97"/>
      <c r="L50" s="97"/>
      <c r="M50" s="39"/>
      <c r="N50" s="39"/>
    </row>
  </sheetData>
  <mergeCells count="6">
    <mergeCell ref="I3:J3"/>
    <mergeCell ref="P33:P34"/>
    <mergeCell ref="O36:P36"/>
    <mergeCell ref="K3:N3"/>
    <mergeCell ref="P13:P15"/>
    <mergeCell ref="P19:P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Kostnad 2016</vt:lpstr>
    </vt:vector>
  </TitlesOfParts>
  <Company>NVE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Karstad Isachsen</dc:creator>
  <cp:lastModifiedBy>Olav Karstad Isachsen</cp:lastModifiedBy>
  <dcterms:created xsi:type="dcterms:W3CDTF">2016-11-15T12:54:30Z</dcterms:created>
  <dcterms:modified xsi:type="dcterms:W3CDTF">2017-03-17T14:29:22Z</dcterms:modified>
</cp:coreProperties>
</file>