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Felles\Prosjekt\2016_Kostnadsrapport\Fase3\Regneark - MÅ IKKE FLYTTES\"/>
    </mc:Choice>
  </mc:AlternateContent>
  <bookViews>
    <workbookView xWindow="0" yWindow="0" windowWidth="28800" windowHeight="13365"/>
  </bookViews>
  <sheets>
    <sheet name="Kostnad 2016" sheetId="2" r:id="rId1"/>
  </sheets>
  <externalReferences>
    <externalReference r:id="rId2"/>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2" l="1"/>
  <c r="H12" i="2"/>
  <c r="H11" i="2"/>
  <c r="H10" i="2"/>
  <c r="H9" i="2"/>
  <c r="H18" i="2"/>
  <c r="H16" i="2"/>
  <c r="C12" i="2" l="1"/>
  <c r="H22" i="2" s="1"/>
  <c r="H30" i="2" s="1"/>
  <c r="C6" i="2"/>
  <c r="C5" i="2"/>
  <c r="H32" i="2" s="1"/>
  <c r="C4" i="2"/>
  <c r="C3" i="2"/>
  <c r="H14" i="2" l="1"/>
  <c r="H15" i="2" s="1"/>
  <c r="H28" i="2" s="1"/>
  <c r="H29" i="2"/>
  <c r="G18" i="2"/>
  <c r="C10" i="2" l="1"/>
  <c r="C9" i="2"/>
  <c r="G19" i="2" l="1"/>
  <c r="H19" i="2"/>
  <c r="H21" i="2" s="1"/>
  <c r="H31" i="2" s="1"/>
  <c r="H23" i="2" s="1"/>
  <c r="H25" i="2" s="1"/>
  <c r="I18" i="2"/>
  <c r="J18" i="2"/>
  <c r="K18" i="2"/>
  <c r="L18" i="2"/>
  <c r="C11" i="2"/>
  <c r="L20" i="2" s="1"/>
  <c r="C8" i="2"/>
  <c r="H7" i="2" s="1"/>
  <c r="C7" i="2"/>
  <c r="L10" i="2" l="1"/>
  <c r="K16" i="2"/>
  <c r="K10" i="2"/>
  <c r="K9" i="2"/>
  <c r="G16" i="2"/>
  <c r="L13" i="2"/>
  <c r="L22" i="2"/>
  <c r="L9" i="2"/>
  <c r="I22" i="2"/>
  <c r="J22" i="2"/>
  <c r="K12" i="2"/>
  <c r="K22" i="2"/>
  <c r="G22" i="2"/>
  <c r="J13" i="2"/>
  <c r="K13" i="2"/>
  <c r="K11" i="2"/>
  <c r="L16" i="2"/>
  <c r="J16" i="2"/>
  <c r="J10" i="2"/>
  <c r="L11" i="2"/>
  <c r="L12" i="2"/>
  <c r="I16" i="2"/>
  <c r="J12" i="2"/>
  <c r="J9" i="2"/>
  <c r="J11" i="2"/>
  <c r="I7" i="2"/>
  <c r="G7" i="2"/>
  <c r="L7" i="2"/>
  <c r="K7" i="2"/>
  <c r="J7" i="2"/>
  <c r="I32" i="2"/>
  <c r="G32" i="2" l="1"/>
  <c r="L32" i="2"/>
  <c r="K32" i="2"/>
  <c r="J32" i="2"/>
  <c r="G30" i="2"/>
  <c r="I30" i="2"/>
  <c r="J30" i="2"/>
  <c r="L30" i="2"/>
  <c r="K30" i="2"/>
  <c r="L29" i="2"/>
  <c r="G29" i="2"/>
  <c r="K29" i="2"/>
  <c r="I29" i="2"/>
  <c r="J29" i="2"/>
  <c r="I14" i="2"/>
  <c r="J14" i="2" l="1"/>
  <c r="J15" i="2" s="1"/>
  <c r="J28" i="2" s="1"/>
  <c r="L14" i="2"/>
  <c r="L15" i="2" s="1"/>
  <c r="L28" i="2" s="1"/>
  <c r="K14" i="2"/>
  <c r="K15" i="2" s="1"/>
  <c r="K28" i="2" s="1"/>
  <c r="G14" i="2"/>
  <c r="G15" i="2" s="1"/>
  <c r="I15" i="2"/>
  <c r="I28" i="2" s="1"/>
  <c r="G28" i="2" l="1"/>
  <c r="E31" i="2"/>
  <c r="E30" i="2"/>
  <c r="E29" i="2"/>
  <c r="E28" i="2"/>
  <c r="I19" i="2" l="1"/>
  <c r="I21" i="2" s="1"/>
  <c r="I31" i="2" s="1"/>
  <c r="I23" i="2" s="1"/>
  <c r="I25" i="2" s="1"/>
  <c r="G21" i="2"/>
  <c r="G31" i="2" s="1"/>
  <c r="K19" i="2"/>
  <c r="K21" i="2" s="1"/>
  <c r="K31" i="2" s="1"/>
  <c r="K23" i="2" s="1"/>
  <c r="L19" i="2"/>
  <c r="L21" i="2" s="1"/>
  <c r="L31" i="2" s="1"/>
  <c r="L23" i="2" s="1"/>
  <c r="J19" i="2"/>
  <c r="J21" i="2" s="1"/>
  <c r="J31" i="2" s="1"/>
  <c r="J23" i="2" s="1"/>
  <c r="G23" i="2" l="1"/>
  <c r="G25" i="2" s="1"/>
  <c r="J25" i="2"/>
  <c r="L25" i="2"/>
  <c r="K25" i="2"/>
</calcChain>
</file>

<file path=xl/sharedStrings.xml><?xml version="1.0" encoding="utf-8"?>
<sst xmlns="http://schemas.openxmlformats.org/spreadsheetml/2006/main" count="86" uniqueCount="62">
  <si>
    <t>Faste driftskostnader</t>
  </si>
  <si>
    <t>%</t>
  </si>
  <si>
    <t>øre/kWh</t>
  </si>
  <si>
    <t>Enhet</t>
  </si>
  <si>
    <t>Ytelse</t>
  </si>
  <si>
    <t xml:space="preserve">Fullasttimer </t>
  </si>
  <si>
    <t>timer/år</t>
  </si>
  <si>
    <t>Investeringskostnader</t>
  </si>
  <si>
    <t>Prosjektering og administrasjon</t>
  </si>
  <si>
    <t xml:space="preserve">   Byggetidsrenter     </t>
  </si>
  <si>
    <t xml:space="preserve">Sum investeringskostnader </t>
  </si>
  <si>
    <t xml:space="preserve">Spesifikt brenselforbruk  </t>
  </si>
  <si>
    <t>NOx-avgift</t>
  </si>
  <si>
    <t>Brensels- og utslippskostnader</t>
  </si>
  <si>
    <t>Variable kostnader eks brensel</t>
  </si>
  <si>
    <t>Nåverdier</t>
  </si>
  <si>
    <t>øre</t>
  </si>
  <si>
    <t>Produsert varme</t>
  </si>
  <si>
    <t>kWhv</t>
  </si>
  <si>
    <t>Merknad</t>
  </si>
  <si>
    <t>Kilde</t>
  </si>
  <si>
    <t>Faktor for teknologiforbedring 2016 - 2035</t>
  </si>
  <si>
    <t>LCOE 2016</t>
  </si>
  <si>
    <t>LCOE 2035</t>
  </si>
  <si>
    <t>år</t>
  </si>
  <si>
    <t>Byggetid</t>
  </si>
  <si>
    <t>Levetid</t>
  </si>
  <si>
    <t>prosent/år</t>
  </si>
  <si>
    <t>enhet</t>
  </si>
  <si>
    <t>Diskonteringsrente</t>
  </si>
  <si>
    <t>MW</t>
  </si>
  <si>
    <t>kr/kW</t>
  </si>
  <si>
    <r>
      <t>kr/kW</t>
    </r>
    <r>
      <rPr>
        <sz val="10"/>
        <rFont val="Calibri"/>
        <family val="2"/>
        <scheme val="minor"/>
      </rPr>
      <t xml:space="preserve"> /år</t>
    </r>
  </si>
  <si>
    <t>Biooljekjel</t>
  </si>
  <si>
    <t>faktor</t>
  </si>
  <si>
    <r>
      <t>kWh</t>
    </r>
    <r>
      <rPr>
        <sz val="8"/>
        <rFont val="Calibri"/>
        <family val="2"/>
        <scheme val="minor"/>
      </rPr>
      <t>brensel/</t>
    </r>
    <r>
      <rPr>
        <sz val="11"/>
        <rFont val="Calibri"/>
        <family val="2"/>
        <scheme val="minor"/>
      </rPr>
      <t>kg</t>
    </r>
  </si>
  <si>
    <t>Øvre brennverdi</t>
  </si>
  <si>
    <r>
      <t>kWh</t>
    </r>
    <r>
      <rPr>
        <sz val="8"/>
        <rFont val="Calibri"/>
        <family val="2"/>
        <scheme val="minor"/>
      </rPr>
      <t>brensel</t>
    </r>
    <r>
      <rPr>
        <sz val="11"/>
        <rFont val="Calibri"/>
        <family val="2"/>
        <scheme val="minor"/>
      </rPr>
      <t>/kg</t>
    </r>
  </si>
  <si>
    <t>Brenselspris</t>
  </si>
  <si>
    <r>
      <t>øre/kWh</t>
    </r>
    <r>
      <rPr>
        <sz val="8"/>
        <rFont val="Calibri"/>
        <family val="2"/>
        <scheme val="minor"/>
      </rPr>
      <t>brensel</t>
    </r>
  </si>
  <si>
    <t>Inflasjon 2014-2016</t>
  </si>
  <si>
    <t>Nedre brennverdi</t>
  </si>
  <si>
    <t>Brenselspris industri</t>
  </si>
  <si>
    <t>Brenselspris husholdning</t>
  </si>
  <si>
    <t>Virkningsgrad (nedre brennverdi)</t>
  </si>
  <si>
    <t>Virkningsgrad (øvre brennverdi)</t>
  </si>
  <si>
    <t>Kjel</t>
  </si>
  <si>
    <t>Installasjon</t>
  </si>
  <si>
    <t>Oljetank</t>
  </si>
  <si>
    <t>Øvrige kostnader</t>
  </si>
  <si>
    <r>
      <t>kWh</t>
    </r>
    <r>
      <rPr>
        <sz val="8"/>
        <rFont val="Calibri"/>
        <family val="2"/>
        <scheme val="minor"/>
      </rPr>
      <t>brense</t>
    </r>
    <r>
      <rPr>
        <sz val="10"/>
        <rFont val="Calibri"/>
        <family val="2"/>
        <scheme val="minor"/>
      </rPr>
      <t>l/kWh</t>
    </r>
  </si>
  <si>
    <t>Sum brensels- og utslippskostnader</t>
  </si>
  <si>
    <t>Norconsult</t>
  </si>
  <si>
    <t>Dette er momentan virkningsgrad, årsvirkningsgrad ligger 5-15 % lavere.</t>
  </si>
  <si>
    <t>Norconsult, basert på prisanslag fra to leverandører i Norge</t>
  </si>
  <si>
    <t>Justert opp fra Kostnader i energisektoren 2015 vha infasjonsindeks</t>
  </si>
  <si>
    <t>Dette er moden teknologi med lite potensiale for reduksjon i investeringskostnader. Kostnadsutvikling er sterkt avhengig av brenselspris. Brenselspris er antatt her konstant.</t>
  </si>
  <si>
    <t>Degraderingsrate</t>
  </si>
  <si>
    <t>Kilde for investeringskostnader for 10 kW og 150 kW kjeler er NVEs vurdering basert på prisanslag fra leverandører av  oljekjeler. For øvrige kjeler er kilde Norconsult basert på prisanslag fra to leverandører i Norge</t>
  </si>
  <si>
    <t>inkl.mva.</t>
  </si>
  <si>
    <t>Mva.</t>
  </si>
  <si>
    <t xml:space="preserve">prosent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</si>
</sst>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 #,##0.00_ ;_ * \-#,##0.00_ ;_ * &quot;-&quot;??_ ;_ @_ "/>
    <numFmt numFmtId="164" formatCode="General_)"/>
    <numFmt numFmtId="165" formatCode="0.0"/>
    <numFmt numFmtId="166" formatCode="0.0\ %"/>
    <numFmt numFmtId="167" formatCode="0.000"/>
    <numFmt numFmtId="168" formatCode="#,##0.0"/>
    <numFmt numFmtId="169" formatCode="#,##0.000"/>
  </numFmts>
  <fonts count="16" x14ac:knownFonts="1">
    <font>
      <sz val="11"/>
      <color theme="1"/>
      <name val="Calibri"/>
      <family val="2"/>
      <scheme val="minor"/>
    </font>
    <font>
      <b/>
      <sz val="11"/>
      <color theme="0"/>
      <name val="Calibri"/>
      <family val="2"/>
      <scheme val="minor"/>
    </font>
    <font>
      <sz val="10"/>
      <color theme="1"/>
      <name val="Calibri"/>
      <family val="2"/>
      <scheme val="minor"/>
    </font>
    <font>
      <sz val="12"/>
      <name val="Helv"/>
    </font>
    <font>
      <sz val="10"/>
      <name val="Calibri"/>
      <family val="2"/>
      <scheme val="minor"/>
    </font>
    <font>
      <b/>
      <sz val="10"/>
      <color theme="0"/>
      <name val="Calibri"/>
      <family val="2"/>
      <scheme val="minor"/>
    </font>
    <font>
      <sz val="10"/>
      <color theme="0"/>
      <name val="Calibri"/>
      <family val="2"/>
      <scheme val="minor"/>
    </font>
    <font>
      <b/>
      <sz val="10"/>
      <name val="Calibri"/>
      <family val="2"/>
      <scheme val="minor"/>
    </font>
    <font>
      <sz val="10"/>
      <name val="Arial"/>
      <family val="2"/>
    </font>
    <font>
      <sz val="10"/>
      <color theme="1" tint="0.499984740745262"/>
      <name val="Calibri"/>
      <family val="2"/>
      <scheme val="minor"/>
    </font>
    <font>
      <sz val="11"/>
      <color theme="1"/>
      <name val="Calibri"/>
      <family val="2"/>
      <scheme val="minor"/>
    </font>
    <font>
      <sz val="11"/>
      <color rgb="FFFF0000"/>
      <name val="Calibri"/>
      <family val="2"/>
      <scheme val="minor"/>
    </font>
    <font>
      <sz val="11"/>
      <name val="Calibri"/>
      <family val="2"/>
      <scheme val="minor"/>
    </font>
    <font>
      <sz val="8"/>
      <name val="Calibri"/>
      <family val="2"/>
      <scheme val="minor"/>
    </font>
    <font>
      <sz val="10"/>
      <color rgb="FFFF0000"/>
      <name val="Calibri"/>
      <family val="2"/>
      <scheme val="minor"/>
    </font>
    <font>
      <b/>
      <sz val="11"/>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9" tint="-0.249977111117893"/>
        <bgColor indexed="64"/>
      </patternFill>
    </fill>
  </fills>
  <borders count="29">
    <border>
      <left/>
      <right/>
      <top/>
      <bottom/>
      <diagonal/>
    </border>
    <border>
      <left style="medium">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style="medium">
        <color indexed="64"/>
      </right>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theme="4"/>
      </left>
      <right/>
      <top style="thin">
        <color theme="4"/>
      </top>
      <bottom/>
      <diagonal/>
    </border>
    <border>
      <left/>
      <right/>
      <top style="thin">
        <color theme="4"/>
      </top>
      <bottom/>
      <diagonal/>
    </border>
    <border>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theme="4"/>
      </left>
      <right/>
      <top/>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5">
    <xf numFmtId="0" fontId="0" fillId="0" borderId="0"/>
    <xf numFmtId="164" fontId="3" fillId="0" borderId="0"/>
    <xf numFmtId="43" fontId="8"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cellStyleXfs>
  <cellXfs count="106">
    <xf numFmtId="0" fontId="0" fillId="0" borderId="0" xfId="0"/>
    <xf numFmtId="164" fontId="7" fillId="0" borderId="10" xfId="1" applyFont="1" applyFill="1" applyBorder="1"/>
    <xf numFmtId="164" fontId="7" fillId="0" borderId="1" xfId="1" applyFont="1" applyFill="1" applyBorder="1"/>
    <xf numFmtId="164" fontId="7" fillId="0" borderId="12" xfId="1" applyFont="1" applyFill="1" applyBorder="1" applyAlignment="1">
      <alignment horizontal="right"/>
    </xf>
    <xf numFmtId="164" fontId="4" fillId="0" borderId="1" xfId="1" applyFont="1" applyFill="1" applyBorder="1" applyAlignment="1">
      <alignment horizontal="left" indent="1"/>
    </xf>
    <xf numFmtId="164" fontId="4" fillId="0" borderId="12" xfId="1" applyFont="1" applyFill="1" applyBorder="1" applyAlignment="1">
      <alignment horizontal="right"/>
    </xf>
    <xf numFmtId="3" fontId="4" fillId="0" borderId="8" xfId="1" applyNumberFormat="1" applyFont="1" applyFill="1" applyBorder="1"/>
    <xf numFmtId="164" fontId="4" fillId="0" borderId="1" xfId="1" applyFont="1" applyFill="1" applyBorder="1"/>
    <xf numFmtId="164" fontId="4" fillId="0" borderId="11" xfId="1" applyFont="1" applyFill="1" applyBorder="1" applyAlignment="1">
      <alignment horizontal="right"/>
    </xf>
    <xf numFmtId="165" fontId="4" fillId="0" borderId="8" xfId="1" applyNumberFormat="1" applyFont="1" applyFill="1" applyBorder="1"/>
    <xf numFmtId="164" fontId="4" fillId="0" borderId="14" xfId="1" applyFont="1" applyFill="1" applyBorder="1" applyAlignment="1">
      <alignment horizontal="right"/>
    </xf>
    <xf numFmtId="164" fontId="7" fillId="0" borderId="16" xfId="1" applyFont="1" applyFill="1" applyBorder="1"/>
    <xf numFmtId="164" fontId="7" fillId="0" borderId="17" xfId="1" applyFont="1" applyFill="1" applyBorder="1" applyAlignment="1">
      <alignment horizontal="right"/>
    </xf>
    <xf numFmtId="165" fontId="7" fillId="0" borderId="17" xfId="0" applyNumberFormat="1" applyFont="1" applyFill="1" applyBorder="1"/>
    <xf numFmtId="0" fontId="4" fillId="0" borderId="0" xfId="0" applyFont="1"/>
    <xf numFmtId="164" fontId="9" fillId="0" borderId="0" xfId="1" applyFont="1" applyFill="1" applyBorder="1"/>
    <xf numFmtId="165" fontId="9" fillId="0" borderId="0" xfId="1" applyNumberFormat="1" applyFont="1" applyFill="1" applyBorder="1"/>
    <xf numFmtId="164" fontId="4" fillId="0" borderId="18" xfId="0" applyNumberFormat="1" applyFont="1" applyBorder="1"/>
    <xf numFmtId="0" fontId="4" fillId="0" borderId="7" xfId="0" applyFont="1" applyBorder="1" applyAlignment="1">
      <alignment horizontal="right"/>
    </xf>
    <xf numFmtId="164" fontId="4" fillId="0" borderId="3" xfId="0" applyNumberFormat="1" applyFont="1" applyBorder="1"/>
    <xf numFmtId="164" fontId="4" fillId="0" borderId="13" xfId="0" applyNumberFormat="1" applyFont="1" applyBorder="1"/>
    <xf numFmtId="0" fontId="4" fillId="0" borderId="12" xfId="0" applyFont="1" applyBorder="1" applyAlignment="1">
      <alignment horizontal="right"/>
    </xf>
    <xf numFmtId="40" fontId="4" fillId="0" borderId="0" xfId="0" applyNumberFormat="1" applyFont="1" applyBorder="1"/>
    <xf numFmtId="0" fontId="5" fillId="2" borderId="21" xfId="0" applyFont="1" applyFill="1" applyBorder="1"/>
    <xf numFmtId="0" fontId="5" fillId="2" borderId="22" xfId="0" applyFont="1" applyFill="1" applyBorder="1"/>
    <xf numFmtId="2" fontId="4" fillId="0" borderId="0" xfId="0" applyNumberFormat="1" applyFont="1"/>
    <xf numFmtId="0" fontId="2" fillId="0" borderId="0" xfId="0" applyFont="1" applyBorder="1"/>
    <xf numFmtId="0" fontId="0" fillId="3" borderId="0" xfId="0" applyFill="1"/>
    <xf numFmtId="164" fontId="5" fillId="3" borderId="1" xfId="1" applyFont="1" applyFill="1" applyBorder="1"/>
    <xf numFmtId="164" fontId="5" fillId="3" borderId="7" xfId="1" applyFont="1" applyFill="1" applyBorder="1" applyAlignment="1">
      <alignment horizontal="right"/>
    </xf>
    <xf numFmtId="0" fontId="6" fillId="3" borderId="8" xfId="0" applyFont="1" applyFill="1" applyBorder="1" applyAlignment="1">
      <alignment horizontal="center"/>
    </xf>
    <xf numFmtId="0" fontId="6" fillId="3" borderId="9" xfId="0" applyFont="1" applyFill="1" applyBorder="1" applyAlignment="1">
      <alignment horizontal="center"/>
    </xf>
    <xf numFmtId="164" fontId="5" fillId="3" borderId="8" xfId="1" applyFont="1" applyFill="1" applyBorder="1" applyAlignment="1">
      <alignment horizontal="right"/>
    </xf>
    <xf numFmtId="164" fontId="5" fillId="3" borderId="9" xfId="1" applyFont="1" applyFill="1" applyBorder="1" applyAlignment="1">
      <alignment horizontal="right"/>
    </xf>
    <xf numFmtId="164" fontId="5" fillId="3" borderId="0" xfId="1" applyFont="1" applyFill="1" applyBorder="1"/>
    <xf numFmtId="165" fontId="4" fillId="0" borderId="9" xfId="1" applyNumberFormat="1" applyFont="1" applyFill="1" applyBorder="1"/>
    <xf numFmtId="165" fontId="7" fillId="0" borderId="24" xfId="0" applyNumberFormat="1" applyFont="1" applyFill="1" applyBorder="1"/>
    <xf numFmtId="0" fontId="1" fillId="2" borderId="21" xfId="0" applyFont="1" applyFill="1" applyBorder="1"/>
    <xf numFmtId="0" fontId="12" fillId="0" borderId="0" xfId="0" applyFont="1"/>
    <xf numFmtId="2" fontId="12" fillId="0" borderId="0" xfId="0" applyNumberFormat="1" applyFont="1" applyBorder="1" applyAlignment="1">
      <alignment horizontal="center"/>
    </xf>
    <xf numFmtId="0" fontId="1" fillId="2" borderId="25" xfId="0" applyFont="1" applyFill="1" applyBorder="1"/>
    <xf numFmtId="2" fontId="0" fillId="0" borderId="0" xfId="0" applyNumberFormat="1" applyFont="1" applyAlignment="1">
      <alignment horizontal="center"/>
    </xf>
    <xf numFmtId="165" fontId="12" fillId="0" borderId="0" xfId="0" applyNumberFormat="1" applyFont="1" applyBorder="1" applyAlignment="1">
      <alignment horizontal="center"/>
    </xf>
    <xf numFmtId="167" fontId="0" fillId="0" borderId="0" xfId="0" applyNumberFormat="1" applyFont="1" applyFill="1" applyAlignment="1">
      <alignment horizontal="center"/>
    </xf>
    <xf numFmtId="0" fontId="0" fillId="0" borderId="0" xfId="0" applyAlignment="1">
      <alignment horizontal="center"/>
    </xf>
    <xf numFmtId="0" fontId="0" fillId="0" borderId="0" xfId="0" applyBorder="1" applyAlignment="1">
      <alignment horizontal="center"/>
    </xf>
    <xf numFmtId="166" fontId="2" fillId="0" borderId="0" xfId="3" applyNumberFormat="1" applyFont="1" applyBorder="1" applyAlignment="1">
      <alignment horizontal="center"/>
    </xf>
    <xf numFmtId="2" fontId="0" fillId="0" borderId="0" xfId="0" applyNumberFormat="1" applyAlignment="1">
      <alignment horizontal="center"/>
    </xf>
    <xf numFmtId="164" fontId="4" fillId="0" borderId="8" xfId="1" applyFont="1" applyFill="1" applyBorder="1" applyAlignment="1">
      <alignment horizontal="right"/>
    </xf>
    <xf numFmtId="164" fontId="4" fillId="0" borderId="0" xfId="1" applyFont="1" applyFill="1" applyBorder="1" applyAlignment="1">
      <alignment horizontal="right"/>
    </xf>
    <xf numFmtId="164" fontId="7" fillId="0" borderId="8" xfId="1" applyFont="1" applyFill="1" applyBorder="1" applyAlignment="1">
      <alignment horizontal="right"/>
    </xf>
    <xf numFmtId="0" fontId="4" fillId="0" borderId="0" xfId="0" applyFont="1" applyFill="1" applyBorder="1" applyAlignment="1">
      <alignment horizontal="right"/>
    </xf>
    <xf numFmtId="164" fontId="5" fillId="3" borderId="12" xfId="1" applyFont="1" applyFill="1" applyBorder="1" applyAlignment="1">
      <alignment horizontal="right"/>
    </xf>
    <xf numFmtId="164" fontId="7" fillId="0" borderId="26" xfId="1" applyFont="1" applyFill="1" applyBorder="1"/>
    <xf numFmtId="9" fontId="4" fillId="0" borderId="11" xfId="3" applyFont="1" applyFill="1" applyBorder="1" applyAlignment="1">
      <alignment horizontal="right"/>
    </xf>
    <xf numFmtId="164" fontId="7" fillId="0" borderId="8" xfId="1" applyFont="1" applyFill="1" applyBorder="1"/>
    <xf numFmtId="164" fontId="4" fillId="0" borderId="9" xfId="1" applyFont="1" applyFill="1" applyBorder="1"/>
    <xf numFmtId="2" fontId="4" fillId="0" borderId="8" xfId="1" applyNumberFormat="1" applyFont="1" applyFill="1" applyBorder="1" applyAlignment="1">
      <alignment horizontal="right"/>
    </xf>
    <xf numFmtId="168" fontId="4" fillId="0" borderId="8" xfId="1" applyNumberFormat="1" applyFont="1" applyFill="1" applyBorder="1" applyAlignment="1">
      <alignment horizontal="right"/>
    </xf>
    <xf numFmtId="165" fontId="0" fillId="0" borderId="0" xfId="0" applyNumberFormat="1" applyAlignment="1">
      <alignment horizontal="center"/>
    </xf>
    <xf numFmtId="2" fontId="4" fillId="0" borderId="15" xfId="1" applyNumberFormat="1" applyFont="1" applyFill="1" applyBorder="1" applyAlignment="1">
      <alignment horizontal="right"/>
    </xf>
    <xf numFmtId="164" fontId="7" fillId="0" borderId="0" xfId="1" applyFont="1" applyFill="1" applyBorder="1"/>
    <xf numFmtId="0" fontId="7" fillId="0" borderId="0" xfId="0" applyFont="1" applyBorder="1" applyAlignment="1">
      <alignment horizontal="right"/>
    </xf>
    <xf numFmtId="0" fontId="7" fillId="0" borderId="0" xfId="0" applyFont="1" applyBorder="1"/>
    <xf numFmtId="0" fontId="0" fillId="0" borderId="0" xfId="0" applyFill="1" applyBorder="1"/>
    <xf numFmtId="40" fontId="0" fillId="0" borderId="0" xfId="0" applyNumberFormat="1" applyFill="1" applyBorder="1"/>
    <xf numFmtId="40" fontId="4" fillId="0" borderId="0" xfId="0" applyNumberFormat="1" applyFont="1" applyFill="1" applyBorder="1"/>
    <xf numFmtId="164" fontId="4" fillId="0" borderId="19" xfId="0" applyNumberFormat="1" applyFont="1" applyBorder="1"/>
    <xf numFmtId="0" fontId="4" fillId="0" borderId="14" xfId="0" applyFont="1" applyBorder="1" applyAlignment="1">
      <alignment horizontal="right"/>
    </xf>
    <xf numFmtId="40" fontId="9" fillId="0" borderId="20" xfId="0" applyNumberFormat="1" applyFont="1" applyBorder="1"/>
    <xf numFmtId="164" fontId="7" fillId="0" borderId="7" xfId="1" applyFont="1" applyFill="1" applyBorder="1" applyAlignment="1">
      <alignment horizontal="right"/>
    </xf>
    <xf numFmtId="164" fontId="7" fillId="0" borderId="27" xfId="1" applyFont="1" applyFill="1" applyBorder="1"/>
    <xf numFmtId="164" fontId="4" fillId="0" borderId="28" xfId="1" applyFont="1" applyFill="1" applyBorder="1" applyAlignment="1">
      <alignment horizontal="right"/>
    </xf>
    <xf numFmtId="9" fontId="4" fillId="0" borderId="28" xfId="3" applyFont="1" applyFill="1" applyBorder="1" applyAlignment="1">
      <alignment horizontal="right"/>
    </xf>
    <xf numFmtId="3" fontId="4" fillId="0" borderId="9" xfId="1" applyNumberFormat="1" applyFont="1" applyFill="1" applyBorder="1"/>
    <xf numFmtId="2" fontId="4" fillId="0" borderId="9" xfId="1" applyNumberFormat="1" applyFont="1" applyFill="1" applyBorder="1" applyAlignment="1">
      <alignment horizontal="right"/>
    </xf>
    <xf numFmtId="2" fontId="4" fillId="0" borderId="23" xfId="1" applyNumberFormat="1" applyFont="1" applyFill="1" applyBorder="1" applyAlignment="1">
      <alignment horizontal="right"/>
    </xf>
    <xf numFmtId="169" fontId="4" fillId="0" borderId="9" xfId="1" applyNumberFormat="1" applyFont="1" applyFill="1" applyBorder="1"/>
    <xf numFmtId="0" fontId="11" fillId="0" borderId="0" xfId="0" applyFont="1"/>
    <xf numFmtId="40" fontId="0" fillId="0" borderId="0" xfId="0" applyNumberFormat="1"/>
    <xf numFmtId="3" fontId="0" fillId="0" borderId="0" xfId="0" applyNumberFormat="1"/>
    <xf numFmtId="164" fontId="4" fillId="0" borderId="0" xfId="0" applyNumberFormat="1" applyFont="1" applyFill="1" applyBorder="1"/>
    <xf numFmtId="3" fontId="4" fillId="0" borderId="0" xfId="2" applyNumberFormat="1" applyFont="1" applyFill="1" applyBorder="1"/>
    <xf numFmtId="1" fontId="4" fillId="0" borderId="2" xfId="1" applyNumberFormat="1" applyFont="1" applyFill="1" applyBorder="1" applyAlignment="1">
      <alignment horizontal="right"/>
    </xf>
    <xf numFmtId="1" fontId="4" fillId="0" borderId="11" xfId="1" applyNumberFormat="1" applyFont="1" applyFill="1" applyBorder="1" applyAlignment="1">
      <alignment horizontal="right"/>
    </xf>
    <xf numFmtId="1" fontId="4" fillId="0" borderId="11" xfId="1" applyNumberFormat="1" applyFont="1" applyFill="1" applyBorder="1"/>
    <xf numFmtId="165" fontId="4" fillId="0" borderId="8" xfId="1" applyNumberFormat="1" applyFont="1" applyFill="1" applyBorder="1" applyAlignment="1">
      <alignment horizontal="right"/>
    </xf>
    <xf numFmtId="0" fontId="0" fillId="0" borderId="0" xfId="0" applyAlignment="1">
      <alignment wrapText="1"/>
    </xf>
    <xf numFmtId="0" fontId="15" fillId="0" borderId="0" xfId="0" applyFont="1" applyFill="1" applyBorder="1"/>
    <xf numFmtId="9" fontId="0" fillId="0" borderId="0" xfId="3" applyFont="1" applyFill="1" applyBorder="1"/>
    <xf numFmtId="164" fontId="0" fillId="0" borderId="0" xfId="0" applyNumberFormat="1" applyFill="1" applyBorder="1"/>
    <xf numFmtId="43" fontId="0" fillId="0" borderId="0" xfId="4" applyFont="1" applyFill="1" applyBorder="1"/>
    <xf numFmtId="164" fontId="4" fillId="0" borderId="0" xfId="1" applyFont="1" applyFill="1" applyBorder="1" applyAlignment="1">
      <alignment horizontal="left" indent="1"/>
    </xf>
    <xf numFmtId="164" fontId="14" fillId="0" borderId="0" xfId="1" applyFont="1" applyFill="1" applyBorder="1" applyAlignment="1">
      <alignment horizontal="right"/>
    </xf>
    <xf numFmtId="164" fontId="4" fillId="0" borderId="0" xfId="1" applyFont="1" applyFill="1" applyBorder="1"/>
    <xf numFmtId="3" fontId="14" fillId="0" borderId="0" xfId="1" applyNumberFormat="1" applyFont="1" applyFill="1" applyBorder="1"/>
    <xf numFmtId="3" fontId="14" fillId="0" borderId="0" xfId="2" applyNumberFormat="1" applyFont="1" applyFill="1" applyBorder="1"/>
    <xf numFmtId="1" fontId="4" fillId="0" borderId="28" xfId="1" applyNumberFormat="1" applyFont="1" applyFill="1" applyBorder="1"/>
    <xf numFmtId="3" fontId="4" fillId="0" borderId="15" xfId="2" applyNumberFormat="1" applyFont="1" applyFill="1" applyBorder="1"/>
    <xf numFmtId="3" fontId="4" fillId="0" borderId="23" xfId="2" applyNumberFormat="1" applyFont="1" applyFill="1" applyBorder="1"/>
    <xf numFmtId="9" fontId="4" fillId="0" borderId="0" xfId="0" applyNumberFormat="1" applyFont="1"/>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0" fillId="0" borderId="0" xfId="0" applyBorder="1" applyAlignment="1">
      <alignment horizontal="center" wrapText="1"/>
    </xf>
    <xf numFmtId="0" fontId="0" fillId="0" borderId="0" xfId="0" applyAlignment="1">
      <alignment horizontal="center" wrapText="1"/>
    </xf>
  </cellXfs>
  <cellStyles count="5">
    <cellStyle name="Komma" xfId="4" builtinId="3"/>
    <cellStyle name="Normal" xfId="0" builtinId="0"/>
    <cellStyle name="Normal_Ark1" xfId="1"/>
    <cellStyle name="Prosent" xfId="3" builtinId="5"/>
    <cellStyle name="Tusenskille_Ark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orutsetning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ennverdier og priser"/>
      <sheetName val="CO2-avgift, grunnavgift"/>
      <sheetName val="CO2-kvoter"/>
      <sheetName val="byggetid levetid rente"/>
      <sheetName val="NOX avgift"/>
    </sheetNames>
    <sheetDataSet>
      <sheetData sheetId="0">
        <row r="6">
          <cell r="D6">
            <v>9.7595833333333335</v>
          </cell>
          <cell r="E6">
            <v>8.9739000000000004</v>
          </cell>
        </row>
        <row r="43">
          <cell r="D43">
            <v>114.83301574566241</v>
          </cell>
        </row>
        <row r="44">
          <cell r="D44">
            <v>127.59223971740268</v>
          </cell>
        </row>
      </sheetData>
      <sheetData sheetId="1">
        <row r="8">
          <cell r="L8">
            <v>16.32</v>
          </cell>
        </row>
      </sheetData>
      <sheetData sheetId="2"/>
      <sheetData sheetId="3">
        <row r="1">
          <cell r="C1">
            <v>1.07973174366617</v>
          </cell>
        </row>
        <row r="14">
          <cell r="C14">
            <v>1</v>
          </cell>
        </row>
        <row r="39">
          <cell r="C39">
            <v>20</v>
          </cell>
          <cell r="D39">
            <v>0.06</v>
          </cell>
          <cell r="E39">
            <v>1E-3</v>
          </cell>
        </row>
      </sheetData>
      <sheetData sheetId="4">
        <row r="11">
          <cell r="H11">
            <v>0.45719999999999994</v>
          </cell>
        </row>
      </sheetData>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3"/>
  <sheetViews>
    <sheetView tabSelected="1" workbookViewId="0">
      <selection activeCell="H4" sqref="H4"/>
    </sheetView>
  </sheetViews>
  <sheetFormatPr baseColWidth="10" defaultRowHeight="15" x14ac:dyDescent="0.25"/>
  <cols>
    <col min="1" max="1" width="29.5703125" customWidth="1"/>
    <col min="5" max="5" width="35.28515625" customWidth="1"/>
    <col min="6" max="6" width="14.42578125" customWidth="1"/>
    <col min="7" max="7" width="12.28515625" bestFit="1" customWidth="1"/>
    <col min="8" max="8" width="12.28515625" customWidth="1"/>
    <col min="9" max="9" width="15.85546875" customWidth="1"/>
    <col min="10" max="10" width="16.42578125" customWidth="1"/>
    <col min="11" max="11" width="15.42578125" customWidth="1"/>
    <col min="12" max="12" width="18.85546875" customWidth="1"/>
    <col min="13" max="13" width="30.28515625" customWidth="1"/>
    <col min="14" max="14" width="29" customWidth="1"/>
    <col min="15" max="22" width="11.42578125" style="64"/>
  </cols>
  <sheetData>
    <row r="1" spans="1:21" ht="15.75" thickBot="1" x14ac:dyDescent="0.3"/>
    <row r="2" spans="1:21" x14ac:dyDescent="0.25">
      <c r="A2" s="23"/>
      <c r="B2" s="23" t="s">
        <v>28</v>
      </c>
      <c r="C2" s="24"/>
      <c r="E2" s="101" t="s">
        <v>33</v>
      </c>
      <c r="F2" s="102"/>
      <c r="G2" s="102"/>
      <c r="H2" s="102"/>
      <c r="I2" s="102"/>
      <c r="J2" s="102"/>
      <c r="K2" s="102"/>
      <c r="L2" s="103"/>
      <c r="M2" s="27"/>
      <c r="N2" s="27"/>
    </row>
    <row r="3" spans="1:21" x14ac:dyDescent="0.25">
      <c r="A3" s="23" t="s">
        <v>25</v>
      </c>
      <c r="B3" t="s">
        <v>24</v>
      </c>
      <c r="C3" s="44">
        <f>'[1]byggetid levetid rente'!$C$14</f>
        <v>1</v>
      </c>
      <c r="D3" s="26"/>
      <c r="E3" s="28"/>
      <c r="F3" s="29" t="s">
        <v>3</v>
      </c>
      <c r="G3" s="32"/>
      <c r="H3" s="32" t="s">
        <v>59</v>
      </c>
      <c r="I3" s="32"/>
      <c r="J3" s="30"/>
      <c r="K3" s="30"/>
      <c r="L3" s="31"/>
      <c r="M3" s="27"/>
      <c r="N3" s="27"/>
    </row>
    <row r="4" spans="1:21" x14ac:dyDescent="0.25">
      <c r="A4" s="23" t="s">
        <v>26</v>
      </c>
      <c r="B4" t="s">
        <v>24</v>
      </c>
      <c r="C4" s="45">
        <f>'[1]byggetid levetid rente'!$C$39</f>
        <v>20</v>
      </c>
      <c r="D4" s="26"/>
      <c r="E4" s="28" t="s">
        <v>4</v>
      </c>
      <c r="F4" s="52" t="s">
        <v>30</v>
      </c>
      <c r="G4" s="32">
        <v>0.01</v>
      </c>
      <c r="H4" s="32">
        <v>0.01</v>
      </c>
      <c r="I4" s="32">
        <v>0.15</v>
      </c>
      <c r="J4" s="32">
        <v>1</v>
      </c>
      <c r="K4" s="32">
        <v>5</v>
      </c>
      <c r="L4" s="33">
        <v>10</v>
      </c>
      <c r="M4" s="34" t="s">
        <v>20</v>
      </c>
      <c r="N4" s="34" t="s">
        <v>19</v>
      </c>
    </row>
    <row r="5" spans="1:21" x14ac:dyDescent="0.25">
      <c r="A5" s="23" t="s">
        <v>29</v>
      </c>
      <c r="B5" t="s">
        <v>27</v>
      </c>
      <c r="C5" s="46">
        <f>'[1]byggetid levetid rente'!$D$39</f>
        <v>0.06</v>
      </c>
      <c r="D5" s="26"/>
      <c r="E5" s="71" t="s">
        <v>5</v>
      </c>
      <c r="F5" s="8" t="s">
        <v>6</v>
      </c>
      <c r="G5" s="8">
        <v>2500</v>
      </c>
      <c r="H5" s="8">
        <v>2500</v>
      </c>
      <c r="I5" s="8">
        <v>2500</v>
      </c>
      <c r="J5" s="8">
        <v>2500</v>
      </c>
      <c r="K5" s="8">
        <v>2500</v>
      </c>
      <c r="L5" s="72">
        <v>2500</v>
      </c>
      <c r="M5" t="s">
        <v>52</v>
      </c>
    </row>
    <row r="6" spans="1:21" ht="45" x14ac:dyDescent="0.25">
      <c r="A6" s="23" t="s">
        <v>57</v>
      </c>
      <c r="B6" t="s">
        <v>27</v>
      </c>
      <c r="C6" s="46">
        <f>'[1]byggetid levetid rente'!$E$39</f>
        <v>1E-3</v>
      </c>
      <c r="D6" s="14"/>
      <c r="E6" s="71" t="s">
        <v>44</v>
      </c>
      <c r="F6" s="8" t="s">
        <v>1</v>
      </c>
      <c r="G6" s="54">
        <v>0.92</v>
      </c>
      <c r="H6" s="54">
        <v>0.92</v>
      </c>
      <c r="I6" s="54">
        <v>0.92</v>
      </c>
      <c r="J6" s="54">
        <v>0.92</v>
      </c>
      <c r="K6" s="54">
        <v>0.92</v>
      </c>
      <c r="L6" s="73">
        <v>0.92</v>
      </c>
      <c r="M6" t="s">
        <v>52</v>
      </c>
      <c r="N6" s="87" t="s">
        <v>53</v>
      </c>
    </row>
    <row r="7" spans="1:21" x14ac:dyDescent="0.25">
      <c r="A7" s="37" t="s">
        <v>41</v>
      </c>
      <c r="B7" s="38" t="s">
        <v>35</v>
      </c>
      <c r="C7" s="39">
        <f>'[1]Brennverdier og priser'!$E$6</f>
        <v>8.9739000000000004</v>
      </c>
      <c r="D7" s="14"/>
      <c r="E7" s="71" t="s">
        <v>45</v>
      </c>
      <c r="F7" s="8" t="s">
        <v>1</v>
      </c>
      <c r="G7" s="54">
        <f>G6/$C$8*$C$7</f>
        <v>0.84593652392947116</v>
      </c>
      <c r="H7" s="54">
        <f>H6/$C$8*$C$7</f>
        <v>0.84593652392947116</v>
      </c>
      <c r="I7" s="54">
        <f t="shared" ref="I7:L7" si="0">I6/$C$8*$C$7</f>
        <v>0.84593652392947116</v>
      </c>
      <c r="J7" s="54">
        <f t="shared" si="0"/>
        <v>0.84593652392947116</v>
      </c>
      <c r="K7" s="54">
        <f t="shared" si="0"/>
        <v>0.84593652392947116</v>
      </c>
      <c r="L7" s="73">
        <f t="shared" si="0"/>
        <v>0.84593652392947116</v>
      </c>
    </row>
    <row r="8" spans="1:21" x14ac:dyDescent="0.25">
      <c r="A8" s="40" t="s">
        <v>36</v>
      </c>
      <c r="B8" s="38" t="s">
        <v>37</v>
      </c>
      <c r="C8" s="41">
        <f>'[1]Brennverdier og priser'!$D$6</f>
        <v>9.7595833333333335</v>
      </c>
      <c r="D8" s="14"/>
      <c r="E8" s="2" t="s">
        <v>7</v>
      </c>
      <c r="F8" s="70"/>
      <c r="G8" s="50"/>
      <c r="H8" s="50"/>
      <c r="I8" s="50"/>
      <c r="J8" s="55"/>
      <c r="K8" s="55"/>
      <c r="L8" s="56"/>
      <c r="Q8" s="88"/>
      <c r="R8" s="88"/>
      <c r="S8" s="88"/>
      <c r="T8" s="88"/>
      <c r="U8" s="88"/>
    </row>
    <row r="9" spans="1:21" x14ac:dyDescent="0.25">
      <c r="A9" s="37" t="s">
        <v>42</v>
      </c>
      <c r="B9" s="38" t="s">
        <v>39</v>
      </c>
      <c r="C9" s="42">
        <f>'[1]Brennverdier og priser'!$D$43</f>
        <v>114.83301574566241</v>
      </c>
      <c r="D9" s="14"/>
      <c r="E9" s="4" t="s">
        <v>46</v>
      </c>
      <c r="F9" s="5" t="s">
        <v>31</v>
      </c>
      <c r="G9" s="48">
        <v>1830</v>
      </c>
      <c r="H9" s="48">
        <f>1830*(1+C13)</f>
        <v>2287.5</v>
      </c>
      <c r="I9" s="48">
        <v>750</v>
      </c>
      <c r="J9" s="6">
        <f>290*C12</f>
        <v>313.12220566318928</v>
      </c>
      <c r="K9" s="6">
        <f>310*C12</f>
        <v>334.71684053651268</v>
      </c>
      <c r="L9" s="74">
        <f>350*C12</f>
        <v>377.90611028315948</v>
      </c>
      <c r="M9" s="104" t="s">
        <v>58</v>
      </c>
      <c r="N9" s="105" t="s">
        <v>55</v>
      </c>
      <c r="Q9" s="89"/>
      <c r="R9" s="89"/>
      <c r="S9" s="89"/>
      <c r="T9" s="89"/>
      <c r="U9" s="89"/>
    </row>
    <row r="10" spans="1:21" x14ac:dyDescent="0.25">
      <c r="A10" s="37" t="s">
        <v>43</v>
      </c>
      <c r="B10" s="38" t="s">
        <v>39</v>
      </c>
      <c r="C10" s="59">
        <f>'[1]Brennverdier og priser'!$D$44</f>
        <v>127.59223971740268</v>
      </c>
      <c r="D10" s="14"/>
      <c r="E10" s="4" t="s">
        <v>47</v>
      </c>
      <c r="F10" s="5" t="s">
        <v>31</v>
      </c>
      <c r="G10" s="48">
        <v>2000</v>
      </c>
      <c r="H10" s="48">
        <f>2000*(1+C13)</f>
        <v>2500</v>
      </c>
      <c r="I10" s="48">
        <v>1100</v>
      </c>
      <c r="J10" s="6">
        <f>175*C12</f>
        <v>188.95305514157974</v>
      </c>
      <c r="K10" s="6">
        <f>50*C12</f>
        <v>53.986587183308501</v>
      </c>
      <c r="L10" s="74">
        <f>40*C12</f>
        <v>43.189269746646801</v>
      </c>
      <c r="M10" s="104"/>
      <c r="N10" s="105"/>
      <c r="Q10" s="89"/>
      <c r="R10" s="89"/>
      <c r="S10" s="89"/>
      <c r="T10" s="89"/>
      <c r="U10" s="89"/>
    </row>
    <row r="11" spans="1:21" x14ac:dyDescent="0.25">
      <c r="A11" s="23" t="s">
        <v>12</v>
      </c>
      <c r="B11" s="38" t="s">
        <v>39</v>
      </c>
      <c r="C11" s="43">
        <f>'[1]NOX avgift'!$H$11</f>
        <v>0.45719999999999994</v>
      </c>
      <c r="D11" s="25"/>
      <c r="E11" s="4" t="s">
        <v>48</v>
      </c>
      <c r="F11" s="5" t="s">
        <v>31</v>
      </c>
      <c r="G11" s="48">
        <v>1200</v>
      </c>
      <c r="H11" s="48">
        <f>1200*(1+C13)</f>
        <v>1500</v>
      </c>
      <c r="I11" s="48">
        <v>300</v>
      </c>
      <c r="J11" s="6">
        <f>200*C12</f>
        <v>215.946348733234</v>
      </c>
      <c r="K11" s="6">
        <f>90*C12</f>
        <v>97.175856929955302</v>
      </c>
      <c r="L11" s="74">
        <f>90*C12</f>
        <v>97.175856929955302</v>
      </c>
      <c r="M11" s="104"/>
      <c r="N11" s="105"/>
      <c r="Q11" s="89"/>
      <c r="R11" s="89"/>
      <c r="S11" s="89"/>
      <c r="T11" s="89"/>
      <c r="U11" s="89"/>
    </row>
    <row r="12" spans="1:21" x14ac:dyDescent="0.25">
      <c r="A12" s="23" t="s">
        <v>40</v>
      </c>
      <c r="B12" s="14" t="s">
        <v>34</v>
      </c>
      <c r="C12" s="47">
        <f>'[1]byggetid levetid rente'!$C$1</f>
        <v>1.07973174366617</v>
      </c>
      <c r="D12" s="25"/>
      <c r="E12" s="4" t="s">
        <v>8</v>
      </c>
      <c r="F12" s="5" t="s">
        <v>31</v>
      </c>
      <c r="G12" s="48">
        <v>750</v>
      </c>
      <c r="H12" s="48">
        <f>750*(1+C13)</f>
        <v>937.5</v>
      </c>
      <c r="I12" s="48">
        <v>320</v>
      </c>
      <c r="J12" s="6">
        <f>100*C12</f>
        <v>107.973174366617</v>
      </c>
      <c r="K12" s="6">
        <f>68*C12</f>
        <v>73.421758569299556</v>
      </c>
      <c r="L12" s="74">
        <f>72*C12</f>
        <v>77.740685543964233</v>
      </c>
      <c r="M12" s="104"/>
      <c r="N12" s="105"/>
      <c r="Q12" s="89"/>
      <c r="R12" s="89"/>
      <c r="S12" s="89"/>
      <c r="T12" s="89"/>
      <c r="U12" s="89"/>
    </row>
    <row r="13" spans="1:21" x14ac:dyDescent="0.25">
      <c r="A13" s="23" t="s">
        <v>60</v>
      </c>
      <c r="B13" s="14" t="s">
        <v>61</v>
      </c>
      <c r="C13" s="100">
        <v>0.25</v>
      </c>
      <c r="D13" s="25"/>
      <c r="E13" s="4" t="s">
        <v>49</v>
      </c>
      <c r="F13" s="5" t="s">
        <v>31</v>
      </c>
      <c r="G13" s="48">
        <v>450</v>
      </c>
      <c r="H13" s="48">
        <f>450*(1+C13)</f>
        <v>562.5</v>
      </c>
      <c r="I13" s="48">
        <v>190</v>
      </c>
      <c r="J13" s="6">
        <f>73*C12</f>
        <v>78.820417287630406</v>
      </c>
      <c r="K13" s="6">
        <f>78*C12</f>
        <v>84.219076005961256</v>
      </c>
      <c r="L13" s="74">
        <f>88*C12</f>
        <v>95.016393442622956</v>
      </c>
      <c r="M13" s="104"/>
      <c r="N13" s="105"/>
      <c r="Q13" s="89"/>
      <c r="R13" s="89"/>
      <c r="S13" s="89"/>
      <c r="T13" s="89"/>
      <c r="U13" s="89"/>
    </row>
    <row r="14" spans="1:21" x14ac:dyDescent="0.25">
      <c r="E14" s="7" t="s">
        <v>9</v>
      </c>
      <c r="F14" s="5" t="s">
        <v>31</v>
      </c>
      <c r="G14" s="6">
        <f t="shared" ref="G14:H14" si="1">SUM(G9:G13)*(((1+($C$5))*((1+$C$5)^($C$3)-1))/($C$5*$C$3))-SUM(G9:G13)</f>
        <v>373.80000000000564</v>
      </c>
      <c r="H14" s="6">
        <f t="shared" si="1"/>
        <v>467.25000000000728</v>
      </c>
      <c r="I14" s="6">
        <f>SUM(I9:I13)*(((1+($C$5))*((1+$C$5)^($C$3)-1))/($C$5*$C$3))-SUM(I9:I13)</f>
        <v>159.60000000000264</v>
      </c>
      <c r="J14" s="6">
        <f>SUM(J9:J13)*(((1+($C$5))*((1+$C$5)^($C$3)-1))/($C$5*$C$3))-SUM(J9:J13)</f>
        <v>54.288912071535833</v>
      </c>
      <c r="K14" s="6">
        <f>SUM(K9:K13)*(((1+($C$5))*((1+$C$5)^($C$3)-1))/($C$5*$C$3))-SUM(K9:K13)</f>
        <v>38.611207153502846</v>
      </c>
      <c r="L14" s="74">
        <f>SUM(L9:L13)*(((1+($C$5))*((1+$C$5)^($C$3)-1))/($C$5*$C$3))-SUM(L9:L13)</f>
        <v>41.461698956781561</v>
      </c>
      <c r="M14" s="104"/>
      <c r="N14" s="105"/>
      <c r="Q14" s="90"/>
      <c r="R14" s="90"/>
      <c r="S14" s="90"/>
      <c r="T14" s="90"/>
      <c r="U14" s="90"/>
    </row>
    <row r="15" spans="1:21" x14ac:dyDescent="0.25">
      <c r="A15" s="78"/>
      <c r="E15" s="53" t="s">
        <v>10</v>
      </c>
      <c r="F15" s="10" t="s">
        <v>31</v>
      </c>
      <c r="G15" s="98">
        <f t="shared" ref="G15:I15" si="2">SUM(G9:G14)</f>
        <v>6603.8000000000056</v>
      </c>
      <c r="H15" s="98">
        <f t="shared" ref="H15" si="3">SUM(H9:H14)</f>
        <v>8254.7500000000073</v>
      </c>
      <c r="I15" s="98">
        <f t="shared" si="2"/>
        <v>2819.6000000000026</v>
      </c>
      <c r="J15" s="98">
        <f>SUM(J9:J14)</f>
        <v>959.10411326378642</v>
      </c>
      <c r="K15" s="98">
        <f>SUM(K9:K14)</f>
        <v>682.13132637854017</v>
      </c>
      <c r="L15" s="99">
        <f>SUM(L9:L14)</f>
        <v>732.49001490313037</v>
      </c>
      <c r="M15" s="82"/>
      <c r="S15" s="91"/>
      <c r="U15" s="91"/>
    </row>
    <row r="16" spans="1:21" ht="45" x14ac:dyDescent="0.25">
      <c r="E16" s="1" t="s">
        <v>0</v>
      </c>
      <c r="F16" s="8" t="s">
        <v>32</v>
      </c>
      <c r="G16" s="83">
        <f>600*C12</f>
        <v>647.83904619970201</v>
      </c>
      <c r="H16" s="83">
        <f>600*D12</f>
        <v>0</v>
      </c>
      <c r="I16" s="84">
        <f>45*C12</f>
        <v>48.587928464977651</v>
      </c>
      <c r="J16" s="85">
        <f>6*$C$12</f>
        <v>6.4783904619970194</v>
      </c>
      <c r="K16" s="85">
        <f t="shared" ref="K16:L16" si="4">6*$C$12</f>
        <v>6.4783904619970194</v>
      </c>
      <c r="L16" s="97">
        <f t="shared" si="4"/>
        <v>6.4783904619970194</v>
      </c>
      <c r="M16" s="87" t="s">
        <v>54</v>
      </c>
      <c r="N16" s="87" t="s">
        <v>55</v>
      </c>
      <c r="Q16" s="90"/>
      <c r="R16" s="90"/>
      <c r="S16" s="90"/>
      <c r="T16" s="90"/>
      <c r="U16" s="90"/>
    </row>
    <row r="17" spans="5:18" x14ac:dyDescent="0.25">
      <c r="E17" s="2" t="s">
        <v>13</v>
      </c>
      <c r="F17" s="5"/>
      <c r="G17" s="48"/>
      <c r="H17" s="48"/>
      <c r="I17" s="48"/>
      <c r="J17" s="6"/>
      <c r="K17" s="6"/>
      <c r="L17" s="74"/>
    </row>
    <row r="18" spans="5:18" x14ac:dyDescent="0.25">
      <c r="E18" s="7" t="s">
        <v>11</v>
      </c>
      <c r="F18" s="5" t="s">
        <v>50</v>
      </c>
      <c r="G18" s="57">
        <f>1/G6</f>
        <v>1.0869565217391304</v>
      </c>
      <c r="H18" s="57">
        <f>1/H6</f>
        <v>1.0869565217391304</v>
      </c>
      <c r="I18" s="57">
        <f t="shared" ref="I18:L18" si="5">1/I6</f>
        <v>1.0869565217391304</v>
      </c>
      <c r="J18" s="57">
        <f t="shared" si="5"/>
        <v>1.0869565217391304</v>
      </c>
      <c r="K18" s="57">
        <f t="shared" si="5"/>
        <v>1.0869565217391304</v>
      </c>
      <c r="L18" s="75">
        <f t="shared" si="5"/>
        <v>1.0869565217391304</v>
      </c>
    </row>
    <row r="19" spans="5:18" x14ac:dyDescent="0.25">
      <c r="E19" s="7" t="s">
        <v>38</v>
      </c>
      <c r="F19" s="21" t="s">
        <v>39</v>
      </c>
      <c r="G19" s="58">
        <f>$C$10</f>
        <v>127.59223971740268</v>
      </c>
      <c r="H19" s="58">
        <f>$C$10*(1+C13)</f>
        <v>159.49029964675336</v>
      </c>
      <c r="I19" s="58">
        <f>$C$10</f>
        <v>127.59223971740268</v>
      </c>
      <c r="J19" s="9">
        <f>$C$9</f>
        <v>114.83301574566241</v>
      </c>
      <c r="K19" s="9">
        <f t="shared" ref="K19:L19" si="6">$C$9</f>
        <v>114.83301574566241</v>
      </c>
      <c r="L19" s="35">
        <f t="shared" si="6"/>
        <v>114.83301574566241</v>
      </c>
      <c r="O19" s="92"/>
      <c r="P19" s="49"/>
      <c r="Q19" s="93"/>
      <c r="R19" s="93"/>
    </row>
    <row r="20" spans="5:18" x14ac:dyDescent="0.25">
      <c r="E20" s="7" t="s">
        <v>12</v>
      </c>
      <c r="F20" s="21" t="s">
        <v>39</v>
      </c>
      <c r="G20" s="48">
        <v>0</v>
      </c>
      <c r="H20" s="48">
        <v>0</v>
      </c>
      <c r="I20" s="48">
        <v>0</v>
      </c>
      <c r="J20" s="6">
        <v>0</v>
      </c>
      <c r="K20" s="6">
        <v>0</v>
      </c>
      <c r="L20" s="77">
        <f>C11</f>
        <v>0.45719999999999994</v>
      </c>
      <c r="O20" s="92"/>
      <c r="P20" s="49"/>
      <c r="Q20" s="93"/>
      <c r="R20" s="93"/>
    </row>
    <row r="21" spans="5:18" x14ac:dyDescent="0.25">
      <c r="E21" s="2" t="s">
        <v>51</v>
      </c>
      <c r="F21" s="10" t="s">
        <v>2</v>
      </c>
      <c r="G21" s="60">
        <f>(G19+G20)*G18</f>
        <v>138.68721708413335</v>
      </c>
      <c r="H21" s="60">
        <f>(H19+H20)*H18</f>
        <v>173.35902135516667</v>
      </c>
      <c r="I21" s="60">
        <f t="shared" ref="I21:L21" si="7">(I19+I20)*I18</f>
        <v>138.68721708413335</v>
      </c>
      <c r="J21" s="60">
        <f t="shared" si="7"/>
        <v>124.81849537572</v>
      </c>
      <c r="K21" s="60">
        <f t="shared" si="7"/>
        <v>124.81849537572</v>
      </c>
      <c r="L21" s="76">
        <f t="shared" si="7"/>
        <v>125.31545189745913</v>
      </c>
      <c r="O21" s="92"/>
      <c r="P21" s="49"/>
      <c r="Q21" s="93"/>
      <c r="R21" s="93"/>
    </row>
    <row r="22" spans="5:18" ht="45" x14ac:dyDescent="0.25">
      <c r="E22" s="1" t="s">
        <v>14</v>
      </c>
      <c r="F22" s="8" t="s">
        <v>2</v>
      </c>
      <c r="G22" s="86">
        <f>2.2*$C$12</f>
        <v>2.375409836065574</v>
      </c>
      <c r="H22" s="86">
        <f>2.2*$C$12*(1+C13)</f>
        <v>2.9692622950819674</v>
      </c>
      <c r="I22" s="86">
        <f t="shared" ref="I22:J22" si="8">2.2*$C$12</f>
        <v>2.375409836065574</v>
      </c>
      <c r="J22" s="86">
        <f t="shared" si="8"/>
        <v>2.375409836065574</v>
      </c>
      <c r="K22" s="9">
        <f>1.2*C12</f>
        <v>1.295678092399404</v>
      </c>
      <c r="L22" s="35">
        <f>0.4*C12</f>
        <v>0.43189269746646802</v>
      </c>
      <c r="M22" s="87" t="s">
        <v>54</v>
      </c>
      <c r="N22" s="87" t="s">
        <v>55</v>
      </c>
      <c r="O22" s="92"/>
      <c r="P22" s="49"/>
      <c r="Q22" s="93"/>
      <c r="R22" s="93"/>
    </row>
    <row r="23" spans="5:18" ht="15.75" thickBot="1" x14ac:dyDescent="0.3">
      <c r="E23" s="11" t="s">
        <v>22</v>
      </c>
      <c r="F23" s="12" t="s">
        <v>2</v>
      </c>
      <c r="G23" s="13">
        <f>SUM(G28:G31)/G32</f>
        <v>195.84211887894708</v>
      </c>
      <c r="H23" s="13">
        <f>SUM(H28:H31)/H32</f>
        <v>209.30764174942158</v>
      </c>
      <c r="I23" s="13">
        <f t="shared" ref="I23:L23" si="9">SUM(I28:I31)/I32</f>
        <v>155.11463228388135</v>
      </c>
      <c r="J23" s="13">
        <f t="shared" si="9"/>
        <v>132.17755471654453</v>
      </c>
      <c r="K23" s="13">
        <f t="shared" si="9"/>
        <v>130.03059982517308</v>
      </c>
      <c r="L23" s="36">
        <f t="shared" si="9"/>
        <v>129.85323129820597</v>
      </c>
      <c r="O23" s="92"/>
      <c r="P23" s="49"/>
      <c r="Q23" s="93"/>
      <c r="R23" s="93"/>
    </row>
    <row r="24" spans="5:18" ht="47.25" customHeight="1" x14ac:dyDescent="0.25">
      <c r="E24" s="2" t="s">
        <v>21</v>
      </c>
      <c r="F24" s="3"/>
      <c r="G24" s="50">
        <v>1</v>
      </c>
      <c r="H24" s="50">
        <v>1</v>
      </c>
      <c r="I24" s="50">
        <v>1</v>
      </c>
      <c r="J24" s="6">
        <v>1</v>
      </c>
      <c r="K24" s="6">
        <v>1</v>
      </c>
      <c r="L24" s="74">
        <v>1</v>
      </c>
      <c r="M24" s="104" t="s">
        <v>56</v>
      </c>
      <c r="N24" s="105"/>
      <c r="O24" s="94"/>
      <c r="P24" s="49"/>
      <c r="Q24" s="95"/>
      <c r="R24" s="95"/>
    </row>
    <row r="25" spans="5:18" ht="15.75" thickBot="1" x14ac:dyDescent="0.3">
      <c r="E25" s="11" t="s">
        <v>23</v>
      </c>
      <c r="F25" s="12" t="s">
        <v>2</v>
      </c>
      <c r="G25" s="13">
        <f t="shared" ref="G25:I25" si="10">G23*G24</f>
        <v>195.84211887894708</v>
      </c>
      <c r="H25" s="13">
        <f t="shared" ref="H25" si="11">H23*H24</f>
        <v>209.30764174942158</v>
      </c>
      <c r="I25" s="13">
        <f t="shared" si="10"/>
        <v>155.11463228388135</v>
      </c>
      <c r="J25" s="13">
        <f>J23*J24</f>
        <v>132.17755471654453</v>
      </c>
      <c r="K25" s="13">
        <f t="shared" ref="K25:L25" si="12">K23*K24</f>
        <v>130.03059982517308</v>
      </c>
      <c r="L25" s="36">
        <f t="shared" si="12"/>
        <v>129.85323129820597</v>
      </c>
      <c r="O25" s="61"/>
      <c r="P25" s="49"/>
      <c r="Q25" s="96"/>
      <c r="R25" s="96"/>
    </row>
    <row r="26" spans="5:18" x14ac:dyDescent="0.25">
      <c r="K26" s="16"/>
      <c r="L26" s="16"/>
    </row>
    <row r="27" spans="5:18" x14ac:dyDescent="0.25">
      <c r="E27" s="61" t="s">
        <v>15</v>
      </c>
      <c r="F27" s="62"/>
      <c r="G27" s="62"/>
      <c r="H27" s="62"/>
      <c r="I27" s="62"/>
      <c r="J27" s="63"/>
      <c r="K27" s="63"/>
      <c r="L27" s="63"/>
    </row>
    <row r="28" spans="5:18" x14ac:dyDescent="0.25">
      <c r="E28" s="17" t="str">
        <f>E8</f>
        <v>Investeringskostnader</v>
      </c>
      <c r="F28" s="18" t="s">
        <v>16</v>
      </c>
      <c r="G28" s="19">
        <f>G15*100*1000*G4</f>
        <v>6603800.0000000065</v>
      </c>
      <c r="H28" s="19">
        <f>H15*100*1000*H4</f>
        <v>8254750.0000000075</v>
      </c>
      <c r="I28" s="19">
        <f t="shared" ref="I28:L28" si="13">I15*100*1000*I4</f>
        <v>42294000.000000045</v>
      </c>
      <c r="J28" s="19">
        <f t="shared" si="13"/>
        <v>95910411.326378644</v>
      </c>
      <c r="K28" s="19">
        <f t="shared" si="13"/>
        <v>341065663.18927002</v>
      </c>
      <c r="L28" s="19">
        <f t="shared" si="13"/>
        <v>732490014.90313041</v>
      </c>
    </row>
    <row r="29" spans="5:18" x14ac:dyDescent="0.25">
      <c r="E29" s="20" t="str">
        <f>E16</f>
        <v>Faste driftskostnader</v>
      </c>
      <c r="F29" s="21" t="s">
        <v>16</v>
      </c>
      <c r="G29" s="22">
        <f>-PV($C$5,$C$4,G16*100*1000*G4)</f>
        <v>7430662.8222210445</v>
      </c>
      <c r="H29" s="22">
        <f>-PV($C$5,$C$4,H16*100*1000*H4)</f>
        <v>0</v>
      </c>
      <c r="I29" s="22">
        <f t="shared" ref="I29:L29" si="14">-PV($C$5,$C$4,I16*100*1000*I4)</f>
        <v>8359495.6749986727</v>
      </c>
      <c r="J29" s="22">
        <f t="shared" si="14"/>
        <v>7430662.8222210407</v>
      </c>
      <c r="K29" s="22">
        <f t="shared" si="14"/>
        <v>37153314.111105211</v>
      </c>
      <c r="L29" s="22">
        <f t="shared" si="14"/>
        <v>74306628.222210422</v>
      </c>
    </row>
    <row r="30" spans="5:18" x14ac:dyDescent="0.25">
      <c r="E30" s="20" t="str">
        <f>E22</f>
        <v>Variable kostnader eks brensel</v>
      </c>
      <c r="F30" s="21" t="s">
        <v>16</v>
      </c>
      <c r="G30" s="22">
        <f>-PV($C$5,$C$4,G6*G22*1000*G4*G5)</f>
        <v>626652.56467397464</v>
      </c>
      <c r="H30" s="22">
        <f>-PV($C$5,$C$4,H6*H22*1000*H4*H5)</f>
        <v>783315.70584246842</v>
      </c>
      <c r="I30" s="22">
        <f t="shared" ref="I30:L30" si="15">-PV($C$5,$C$4,I6*I22*1000*I4*I5)</f>
        <v>9399788.4701096173</v>
      </c>
      <c r="J30" s="22">
        <f t="shared" si="15"/>
        <v>62665256.467397466</v>
      </c>
      <c r="K30" s="22">
        <f t="shared" si="15"/>
        <v>170905244.91108403</v>
      </c>
      <c r="L30" s="22">
        <f t="shared" si="15"/>
        <v>113936829.94072267</v>
      </c>
    </row>
    <row r="31" spans="5:18" x14ac:dyDescent="0.25">
      <c r="E31" s="20" t="str">
        <f>E21</f>
        <v>Sum brensels- og utslippskostnader</v>
      </c>
      <c r="F31" s="21" t="s">
        <v>16</v>
      </c>
      <c r="G31" s="22">
        <f>-PV($C$5,$C$4,G6*G21*1000*G4*G5)</f>
        <v>36586823.44147256</v>
      </c>
      <c r="H31" s="22">
        <f>-PV($C$5,$C$4,H6*H21*1000*H4*H5)</f>
        <v>45733529.301840708</v>
      </c>
      <c r="I31" s="22">
        <f t="shared" ref="I31:L31" si="16">-PV($C$5,$C$4,I6*I21*1000*I4*I5)</f>
        <v>548802351.62208843</v>
      </c>
      <c r="J31" s="22">
        <f t="shared" si="16"/>
        <v>3292814109.7325306</v>
      </c>
      <c r="K31" s="22">
        <f t="shared" si="16"/>
        <v>16464070548.662651</v>
      </c>
      <c r="L31" s="22">
        <f t="shared" si="16"/>
        <v>33059242296.853504</v>
      </c>
    </row>
    <row r="32" spans="5:18" x14ac:dyDescent="0.25">
      <c r="E32" s="67" t="s">
        <v>17</v>
      </c>
      <c r="F32" s="68" t="s">
        <v>18</v>
      </c>
      <c r="G32" s="69">
        <f>-PV($C$5+$C$6,$C$4,G6*G4*1000*G5)</f>
        <v>261679.86295146603</v>
      </c>
      <c r="H32" s="69">
        <f>-PV($C$5+$C$6,$C$4,H6*H4*1000*H5)</f>
        <v>261679.86295146603</v>
      </c>
      <c r="I32" s="69">
        <f t="shared" ref="I32:L32" si="17">-PV($C$5+$C$6,$C$4,I6*I4*1000*I5)</f>
        <v>3925197.9442719906</v>
      </c>
      <c r="J32" s="69">
        <f t="shared" si="17"/>
        <v>26167986.295146603</v>
      </c>
      <c r="K32" s="69">
        <f t="shared" si="17"/>
        <v>130839931.47573304</v>
      </c>
      <c r="L32" s="69">
        <f t="shared" si="17"/>
        <v>261679862.95146608</v>
      </c>
    </row>
    <row r="33" spans="5:13" x14ac:dyDescent="0.25">
      <c r="E33" s="64"/>
      <c r="F33" s="49"/>
      <c r="G33" s="49"/>
      <c r="H33" s="49"/>
      <c r="I33" s="49"/>
      <c r="J33" s="65"/>
      <c r="K33" s="65"/>
      <c r="L33" s="65"/>
    </row>
    <row r="34" spans="5:13" x14ac:dyDescent="0.25">
      <c r="E34" s="15"/>
      <c r="F34" s="51"/>
      <c r="G34" s="51"/>
      <c r="H34" s="51"/>
      <c r="I34" s="51"/>
      <c r="J34" s="16"/>
      <c r="K34" s="16"/>
      <c r="L34" s="16"/>
    </row>
    <row r="35" spans="5:13" x14ac:dyDescent="0.25">
      <c r="E35" s="81"/>
      <c r="F35" s="51"/>
      <c r="G35" s="51"/>
      <c r="H35" s="51"/>
      <c r="J35" s="66"/>
      <c r="L35" s="66"/>
      <c r="M35" s="66"/>
    </row>
    <row r="36" spans="5:13" x14ac:dyDescent="0.25">
      <c r="E36" s="64"/>
      <c r="F36" s="51"/>
      <c r="G36" s="51"/>
      <c r="H36" s="51"/>
      <c r="J36" s="65"/>
      <c r="L36" s="65"/>
      <c r="M36" s="65"/>
    </row>
    <row r="37" spans="5:13" x14ac:dyDescent="0.25">
      <c r="E37" s="64"/>
      <c r="F37" s="64"/>
      <c r="G37" s="64"/>
      <c r="H37" s="64"/>
      <c r="J37" s="64"/>
      <c r="L37" s="64"/>
      <c r="M37" s="64"/>
    </row>
    <row r="38" spans="5:13" x14ac:dyDescent="0.25">
      <c r="E38" s="64"/>
      <c r="F38" s="64"/>
      <c r="G38" s="64"/>
      <c r="H38" s="64"/>
      <c r="J38" s="64"/>
      <c r="L38" s="64"/>
      <c r="M38" s="64"/>
    </row>
    <row r="39" spans="5:13" x14ac:dyDescent="0.25">
      <c r="E39" s="64"/>
      <c r="F39" s="64"/>
      <c r="G39" s="64"/>
      <c r="H39" s="64"/>
      <c r="J39" s="64"/>
      <c r="L39" s="64"/>
      <c r="M39" s="64"/>
    </row>
    <row r="42" spans="5:13" x14ac:dyDescent="0.25">
      <c r="J42" s="79"/>
      <c r="K42" s="79"/>
      <c r="L42" s="79"/>
    </row>
    <row r="43" spans="5:13" x14ac:dyDescent="0.25">
      <c r="J43" s="80"/>
      <c r="K43" s="80"/>
      <c r="L43" s="80"/>
    </row>
  </sheetData>
  <mergeCells count="4">
    <mergeCell ref="E2:L2"/>
    <mergeCell ref="M9:M14"/>
    <mergeCell ref="N9:N14"/>
    <mergeCell ref="M24:N2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Kostnad 2016</vt:lpstr>
    </vt:vector>
  </TitlesOfParts>
  <Company>NVE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Olav Karstad Isachsen</dc:creator>
  <cp:lastModifiedBy>Olav Karstad Isachsen</cp:lastModifiedBy>
  <dcterms:created xsi:type="dcterms:W3CDTF">2016-11-15T12:54:30Z</dcterms:created>
  <dcterms:modified xsi:type="dcterms:W3CDTF">2017-03-17T14:20:04Z</dcterms:modified>
</cp:coreProperties>
</file>