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Felles\Prosjekt\2016_Kostnadsrapport\Fase3\Regneark - MÅ IKKE FLYTTES\"/>
    </mc:Choice>
  </mc:AlternateContent>
  <bookViews>
    <workbookView xWindow="0" yWindow="0" windowWidth="28800" windowHeight="13365"/>
  </bookViews>
  <sheets>
    <sheet name="Kostnad 201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C15" i="2"/>
  <c r="C14" i="2"/>
  <c r="C7" i="2" l="1"/>
  <c r="C6" i="2"/>
  <c r="C5" i="2"/>
  <c r="I54" i="2" s="1"/>
  <c r="C4" i="2"/>
  <c r="C3" i="2"/>
  <c r="K54" i="2" l="1"/>
  <c r="J54" i="2"/>
  <c r="D16" i="2"/>
  <c r="K27" i="2" s="1"/>
  <c r="E16" i="2"/>
  <c r="K28" i="2" s="1"/>
  <c r="C16" i="2"/>
  <c r="K26" i="2" s="1"/>
  <c r="I30" i="2"/>
  <c r="J24" i="2"/>
  <c r="J23" i="2"/>
  <c r="K22" i="2"/>
  <c r="E13" i="2"/>
  <c r="J20" i="2" s="1"/>
  <c r="D13" i="2"/>
  <c r="J19" i="2" s="1"/>
  <c r="C12" i="2"/>
  <c r="I18" i="2" s="1"/>
  <c r="C13" i="2"/>
  <c r="J18" i="2" s="1"/>
  <c r="E12" i="2"/>
  <c r="I20" i="2" s="1"/>
  <c r="D12" i="2"/>
  <c r="I19" i="2" s="1"/>
  <c r="K20" i="2" l="1"/>
  <c r="K18" i="2"/>
  <c r="K19" i="2"/>
  <c r="K30" i="2"/>
  <c r="I23" i="2"/>
  <c r="J22" i="2"/>
  <c r="K24" i="2"/>
  <c r="J30" i="2"/>
  <c r="I22" i="2"/>
  <c r="K23" i="2"/>
  <c r="I24" i="2"/>
  <c r="J16" i="2" l="1"/>
  <c r="J33" i="2" s="1"/>
  <c r="J52" i="2" s="1"/>
  <c r="K16" i="2"/>
  <c r="I16" i="2"/>
  <c r="I33" i="2" s="1"/>
  <c r="I52" i="2" s="1"/>
  <c r="K32" i="2" l="1"/>
  <c r="K51" i="2" s="1"/>
  <c r="K33" i="2"/>
  <c r="K52" i="2" s="1"/>
  <c r="K34" i="2"/>
  <c r="K53" i="2" s="1"/>
  <c r="I34" i="2"/>
  <c r="I53" i="2" s="1"/>
  <c r="I32" i="2"/>
  <c r="I51" i="2" s="1"/>
  <c r="J34" i="2"/>
  <c r="J53" i="2" s="1"/>
  <c r="J32" i="2"/>
  <c r="J51" i="2" s="1"/>
  <c r="K8" i="2" l="1"/>
  <c r="J11" i="2"/>
  <c r="J10" i="2"/>
  <c r="J8" i="2"/>
  <c r="I11" i="2"/>
  <c r="I9" i="2"/>
  <c r="I8" i="2"/>
  <c r="J14" i="2"/>
  <c r="J48" i="2" s="1"/>
  <c r="J9" i="2"/>
  <c r="K35" i="2"/>
  <c r="K49" i="2" s="1"/>
  <c r="I35" i="2"/>
  <c r="I49" i="2" s="1"/>
  <c r="K14" i="2"/>
  <c r="K48" i="2" s="1"/>
  <c r="I14" i="2"/>
  <c r="I48" i="2" s="1"/>
  <c r="K10" i="2"/>
  <c r="J35" i="2"/>
  <c r="J49" i="2" s="1"/>
  <c r="K11" i="2"/>
  <c r="K9" i="2"/>
  <c r="I12" i="2" l="1"/>
  <c r="I13" i="2" s="1"/>
  <c r="I47" i="2" s="1"/>
  <c r="K12" i="2"/>
  <c r="K13" i="2" s="1"/>
  <c r="K47" i="2" s="1"/>
  <c r="J12" i="2"/>
  <c r="J13" i="2" s="1"/>
  <c r="J47" i="2" s="1"/>
  <c r="J37" i="2" l="1"/>
  <c r="J42" i="2" s="1"/>
  <c r="J38" i="2"/>
  <c r="J43" i="2" s="1"/>
  <c r="J39" i="2"/>
  <c r="J44" i="2" s="1"/>
  <c r="K37" i="2"/>
  <c r="K42" i="2" s="1"/>
  <c r="K39" i="2"/>
  <c r="K44" i="2" s="1"/>
  <c r="K38" i="2"/>
  <c r="K43" i="2" s="1"/>
  <c r="I37" i="2"/>
  <c r="I42" i="2" s="1"/>
  <c r="I38" i="2"/>
  <c r="I43" i="2" s="1"/>
  <c r="I39" i="2"/>
  <c r="I44" i="2" s="1"/>
</calcChain>
</file>

<file path=xl/sharedStrings.xml><?xml version="1.0" encoding="utf-8"?>
<sst xmlns="http://schemas.openxmlformats.org/spreadsheetml/2006/main" count="126" uniqueCount="67">
  <si>
    <t>%</t>
  </si>
  <si>
    <t>Ytelse</t>
  </si>
  <si>
    <t>timer/år</t>
  </si>
  <si>
    <t>Investeringskostnader</t>
  </si>
  <si>
    <t>Maskiner og utstyr</t>
  </si>
  <si>
    <t>Byggekostnader</t>
  </si>
  <si>
    <t>Nettilknytning</t>
  </si>
  <si>
    <t>Prosjektering og administrasjon</t>
  </si>
  <si>
    <t xml:space="preserve">Sum investeringskostnader </t>
  </si>
  <si>
    <t>CO2-avgift</t>
  </si>
  <si>
    <t>NOx-avgift</t>
  </si>
  <si>
    <t>Brensels- og utslippskostnader</t>
  </si>
  <si>
    <t>Nåverdier</t>
  </si>
  <si>
    <t>øre</t>
  </si>
  <si>
    <t>Merknad</t>
  </si>
  <si>
    <t>Kilde</t>
  </si>
  <si>
    <t>Faktor for teknologiforbedring 2016 - 2035</t>
  </si>
  <si>
    <t>LCOE 2016</t>
  </si>
  <si>
    <t>LCOE 2035</t>
  </si>
  <si>
    <t>år</t>
  </si>
  <si>
    <t>Byggetid</t>
  </si>
  <si>
    <t>Levetid</t>
  </si>
  <si>
    <t>Degraderingsrate</t>
  </si>
  <si>
    <t>prosent/år</t>
  </si>
  <si>
    <t>enhet</t>
  </si>
  <si>
    <t>Diskonteringsrente</t>
  </si>
  <si>
    <t>prosent</t>
  </si>
  <si>
    <t>Dieselkraftverk</t>
  </si>
  <si>
    <t>faktor</t>
  </si>
  <si>
    <t>Inflasjon 2013-2016</t>
  </si>
  <si>
    <t>Enheter</t>
  </si>
  <si>
    <t xml:space="preserve">Fullastimer </t>
  </si>
  <si>
    <t xml:space="preserve">Byggetidsrenter     </t>
  </si>
  <si>
    <t xml:space="preserve">Faste driftskostnader </t>
  </si>
  <si>
    <t>Spesifikt brenselforbruk:</t>
  </si>
  <si>
    <t xml:space="preserve">            Naturgass</t>
  </si>
  <si>
    <t xml:space="preserve">            LPG </t>
  </si>
  <si>
    <t>Brenselspriser</t>
  </si>
  <si>
    <t xml:space="preserve">            Lettolje</t>
  </si>
  <si>
    <t xml:space="preserve">            Naturgass </t>
  </si>
  <si>
    <t xml:space="preserve">            LPG</t>
  </si>
  <si>
    <t xml:space="preserve">Variable kostnader eks brensel </t>
  </si>
  <si>
    <t>Brenselkostnader</t>
  </si>
  <si>
    <t>Produsert energi</t>
  </si>
  <si>
    <t>MWel</t>
  </si>
  <si>
    <t>kr/kWel</t>
  </si>
  <si>
    <t xml:space="preserve">kr/kWel </t>
  </si>
  <si>
    <t>kr/kWel /år</t>
  </si>
  <si>
    <t>øre/kWhel</t>
  </si>
  <si>
    <t>kWhel</t>
  </si>
  <si>
    <t>kWhbrensel/kWhel</t>
  </si>
  <si>
    <t>Grunnavgift</t>
  </si>
  <si>
    <t>øre/kWhbrensel</t>
  </si>
  <si>
    <r>
      <t>øre/kWh</t>
    </r>
    <r>
      <rPr>
        <sz val="8"/>
        <rFont val="Calibri"/>
        <family val="2"/>
        <scheme val="minor"/>
      </rPr>
      <t>brensel</t>
    </r>
  </si>
  <si>
    <t>Lettolje</t>
  </si>
  <si>
    <t>Naturgass</t>
  </si>
  <si>
    <t>LPG</t>
  </si>
  <si>
    <t>Brenselspris, husholdninger</t>
  </si>
  <si>
    <t>Brenselspris, industri</t>
  </si>
  <si>
    <t>Sum brensels- og utslippskostnader</t>
  </si>
  <si>
    <t>Norconsult</t>
  </si>
  <si>
    <t>Erfaringstall fra Norconsult basert på priser fra leverandører i Norge</t>
  </si>
  <si>
    <r>
      <t xml:space="preserve">Justert opp fra </t>
    </r>
    <r>
      <rPr>
        <i/>
        <sz val="11"/>
        <color theme="1"/>
        <rFont val="Calibri"/>
        <family val="2"/>
        <scheme val="minor"/>
      </rPr>
      <t xml:space="preserve">Kostnader i energisektoren 2015 </t>
    </r>
    <r>
      <rPr>
        <sz val="11"/>
        <color theme="1"/>
        <rFont val="Calibri"/>
        <family val="2"/>
        <scheme val="minor"/>
      </rPr>
      <t>vha infasjonsindeks</t>
    </r>
  </si>
  <si>
    <t>Justert opp fra Kostnader i energisektoren 2015 vha infasjonsindeks</t>
  </si>
  <si>
    <t>Elvirkningsgrad (nedre brennverdi)</t>
  </si>
  <si>
    <t>Momentanvirkningsgrad basert på nedre brennverdi</t>
  </si>
  <si>
    <t>Dette er moden teknologi med lite potensiale for reduksjon i investeringskostnader. Kostnadsutvikling er sterk avhengig av brenselspris. Brenselspris er antatt konstant 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</si>
</sst>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General_)"/>
    <numFmt numFmtId="165" formatCode="0.0"/>
    <numFmt numFmtId="166" formatCode="0.0\ %"/>
    <numFmt numFmtId="167" formatCode="_ * #,##0.0_ ;_ * \-#,##0.0_ ;_ * &quot;-&quot;??_ ;_ @_ "/>
    <numFmt numFmtId="168" formatCode="_ * #,##0_ ;_ * \-#,##0_ ;_ * &quot;-&quot;??_ ;_ @_ "/>
    <numFmt numFmtId="169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Helv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3" fillId="0" borderId="0"/>
    <xf numFmtId="43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26">
    <xf numFmtId="0" fontId="0" fillId="0" borderId="0" xfId="0"/>
    <xf numFmtId="164" fontId="7" fillId="0" borderId="1" xfId="1" applyFont="1" applyFill="1" applyBorder="1"/>
    <xf numFmtId="164" fontId="7" fillId="0" borderId="15" xfId="1" applyFont="1" applyFill="1" applyBorder="1"/>
    <xf numFmtId="164" fontId="7" fillId="0" borderId="2" xfId="1" applyFont="1" applyFill="1" applyBorder="1"/>
    <xf numFmtId="164" fontId="7" fillId="0" borderId="18" xfId="1" applyFont="1" applyFill="1" applyBorder="1" applyAlignment="1">
      <alignment horizontal="right"/>
    </xf>
    <xf numFmtId="164" fontId="4" fillId="0" borderId="2" xfId="1" applyFont="1" applyFill="1" applyBorder="1" applyAlignment="1">
      <alignment horizontal="left" indent="1"/>
    </xf>
    <xf numFmtId="164" fontId="4" fillId="0" borderId="18" xfId="1" applyFont="1" applyFill="1" applyBorder="1" applyAlignment="1">
      <alignment horizontal="right"/>
    </xf>
    <xf numFmtId="3" fontId="4" fillId="0" borderId="9" xfId="1" applyNumberFormat="1" applyFont="1" applyFill="1" applyBorder="1"/>
    <xf numFmtId="164" fontId="4" fillId="0" borderId="16" xfId="1" applyFont="1" applyFill="1" applyBorder="1" applyAlignment="1">
      <alignment horizontal="right"/>
    </xf>
    <xf numFmtId="164" fontId="4" fillId="0" borderId="19" xfId="1" applyFont="1" applyFill="1" applyBorder="1"/>
    <xf numFmtId="164" fontId="4" fillId="0" borderId="21" xfId="1" applyFont="1" applyFill="1" applyBorder="1" applyAlignment="1">
      <alignment horizontal="right"/>
    </xf>
    <xf numFmtId="0" fontId="4" fillId="0" borderId="0" xfId="0" applyFont="1"/>
    <xf numFmtId="0" fontId="7" fillId="0" borderId="4" xfId="0" applyFont="1" applyBorder="1" applyAlignment="1">
      <alignment horizontal="right"/>
    </xf>
    <xf numFmtId="0" fontId="4" fillId="0" borderId="0" xfId="0" applyFont="1" applyBorder="1"/>
    <xf numFmtId="0" fontId="5" fillId="2" borderId="26" xfId="0" applyFont="1" applyFill="1" applyBorder="1"/>
    <xf numFmtId="0" fontId="5" fillId="2" borderId="27" xfId="0" applyFont="1" applyFill="1" applyBorder="1"/>
    <xf numFmtId="0" fontId="2" fillId="0" borderId="0" xfId="0" applyFont="1" applyBorder="1"/>
    <xf numFmtId="0" fontId="0" fillId="3" borderId="0" xfId="0" applyFill="1"/>
    <xf numFmtId="164" fontId="5" fillId="3" borderId="2" xfId="1" applyFont="1" applyFill="1" applyBorder="1"/>
    <xf numFmtId="164" fontId="5" fillId="3" borderId="8" xfId="1" applyFont="1" applyFill="1" applyBorder="1" applyAlignment="1">
      <alignment horizontal="right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5" fillId="3" borderId="9" xfId="1" applyFont="1" applyFill="1" applyBorder="1" applyAlignment="1">
      <alignment horizontal="right"/>
    </xf>
    <xf numFmtId="164" fontId="5" fillId="3" borderId="10" xfId="1" applyFont="1" applyFill="1" applyBorder="1" applyAlignment="1">
      <alignment horizontal="right"/>
    </xf>
    <xf numFmtId="0" fontId="0" fillId="0" borderId="24" xfId="0" applyBorder="1"/>
    <xf numFmtId="0" fontId="0" fillId="0" borderId="0" xfId="0" applyBorder="1"/>
    <xf numFmtId="2" fontId="4" fillId="0" borderId="0" xfId="0" applyNumberFormat="1" applyFont="1" applyBorder="1"/>
    <xf numFmtId="0" fontId="5" fillId="0" borderId="0" xfId="0" applyFont="1" applyFill="1" applyBorder="1"/>
    <xf numFmtId="166" fontId="2" fillId="0" borderId="0" xfId="3" applyNumberFormat="1" applyFont="1" applyBorder="1"/>
    <xf numFmtId="166" fontId="0" fillId="0" borderId="0" xfId="3" applyNumberFormat="1" applyFont="1" applyBorder="1"/>
    <xf numFmtId="164" fontId="5" fillId="3" borderId="0" xfId="1" applyFont="1" applyFill="1" applyBorder="1"/>
    <xf numFmtId="3" fontId="4" fillId="0" borderId="10" xfId="1" applyNumberFormat="1" applyFont="1" applyFill="1" applyBorder="1"/>
    <xf numFmtId="2" fontId="0" fillId="0" borderId="0" xfId="0" applyNumberForma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" fontId="4" fillId="0" borderId="18" xfId="1" applyNumberFormat="1" applyFont="1" applyFill="1" applyBorder="1"/>
    <xf numFmtId="3" fontId="4" fillId="0" borderId="29" xfId="1" applyNumberFormat="1" applyFont="1" applyFill="1" applyBorder="1"/>
    <xf numFmtId="3" fontId="4" fillId="0" borderId="18" xfId="0" applyNumberFormat="1" applyFont="1" applyFill="1" applyBorder="1"/>
    <xf numFmtId="3" fontId="4" fillId="0" borderId="29" xfId="0" applyNumberFormat="1" applyFont="1" applyFill="1" applyBorder="1"/>
    <xf numFmtId="165" fontId="4" fillId="0" borderId="29" xfId="1" applyNumberFormat="1" applyFont="1" applyFill="1" applyBorder="1"/>
    <xf numFmtId="164" fontId="4" fillId="0" borderId="31" xfId="1" applyFont="1" applyFill="1" applyBorder="1"/>
    <xf numFmtId="0" fontId="4" fillId="0" borderId="18" xfId="0" applyFont="1" applyBorder="1"/>
    <xf numFmtId="40" fontId="4" fillId="0" borderId="18" xfId="0" applyNumberFormat="1" applyFont="1" applyBorder="1"/>
    <xf numFmtId="40" fontId="4" fillId="0" borderId="21" xfId="0" applyNumberFormat="1" applyFont="1" applyBorder="1"/>
    <xf numFmtId="0" fontId="1" fillId="2" borderId="26" xfId="0" applyFont="1" applyFill="1" applyBorder="1"/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1" fillId="0" borderId="0" xfId="0" applyFont="1"/>
    <xf numFmtId="2" fontId="0" fillId="0" borderId="0" xfId="0" applyNumberFormat="1" applyAlignment="1">
      <alignment horizontal="center"/>
    </xf>
    <xf numFmtId="0" fontId="1" fillId="2" borderId="35" xfId="0" applyFont="1" applyFill="1" applyBorder="1"/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4" fontId="4" fillId="0" borderId="0" xfId="1" applyFont="1" applyFill="1" applyBorder="1" applyAlignment="1">
      <alignment horizontal="right"/>
    </xf>
    <xf numFmtId="164" fontId="7" fillId="0" borderId="0" xfId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23" xfId="0" applyBorder="1"/>
    <xf numFmtId="168" fontId="0" fillId="0" borderId="4" xfId="4" applyNumberFormat="1" applyFont="1" applyBorder="1"/>
    <xf numFmtId="0" fontId="0" fillId="0" borderId="20" xfId="0" applyBorder="1"/>
    <xf numFmtId="38" fontId="4" fillId="0" borderId="0" xfId="0" applyNumberFormat="1" applyFont="1" applyBorder="1"/>
    <xf numFmtId="38" fontId="4" fillId="0" borderId="25" xfId="0" applyNumberFormat="1" applyFont="1" applyBorder="1"/>
    <xf numFmtId="0" fontId="0" fillId="0" borderId="8" xfId="0" applyBorder="1"/>
    <xf numFmtId="0" fontId="0" fillId="0" borderId="18" xfId="0" applyBorder="1"/>
    <xf numFmtId="0" fontId="0" fillId="0" borderId="21" xfId="0" applyBorder="1"/>
    <xf numFmtId="0" fontId="7" fillId="0" borderId="18" xfId="0" applyFont="1" applyBorder="1"/>
    <xf numFmtId="165" fontId="4" fillId="0" borderId="18" xfId="1" applyNumberFormat="1" applyFont="1" applyFill="1" applyBorder="1"/>
    <xf numFmtId="165" fontId="4" fillId="0" borderId="18" xfId="2" applyNumberFormat="1" applyFont="1" applyFill="1" applyBorder="1"/>
    <xf numFmtId="165" fontId="4" fillId="0" borderId="18" xfId="0" applyNumberFormat="1" applyFont="1" applyFill="1" applyBorder="1"/>
    <xf numFmtId="165" fontId="7" fillId="0" borderId="18" xfId="0" applyNumberFormat="1" applyFont="1" applyFill="1" applyBorder="1"/>
    <xf numFmtId="165" fontId="0" fillId="0" borderId="18" xfId="0" applyNumberFormat="1" applyBorder="1"/>
    <xf numFmtId="167" fontId="4" fillId="0" borderId="18" xfId="4" applyNumberFormat="1" applyFont="1" applyBorder="1"/>
    <xf numFmtId="40" fontId="7" fillId="0" borderId="18" xfId="0" applyNumberFormat="1" applyFont="1" applyBorder="1"/>
    <xf numFmtId="164" fontId="4" fillId="0" borderId="4" xfId="1" applyFont="1" applyFill="1" applyBorder="1" applyAlignment="1">
      <alignment horizontal="right"/>
    </xf>
    <xf numFmtId="0" fontId="4" fillId="0" borderId="25" xfId="0" applyFont="1" applyBorder="1" applyAlignment="1">
      <alignment horizontal="right"/>
    </xf>
    <xf numFmtId="40" fontId="7" fillId="0" borderId="8" xfId="0" applyNumberFormat="1" applyFont="1" applyBorder="1"/>
    <xf numFmtId="164" fontId="5" fillId="3" borderId="18" xfId="1" applyFont="1" applyFill="1" applyBorder="1" applyAlignment="1">
      <alignment horizontal="right"/>
    </xf>
    <xf numFmtId="164" fontId="7" fillId="0" borderId="36" xfId="0" applyNumberFormat="1" applyFont="1" applyBorder="1"/>
    <xf numFmtId="165" fontId="4" fillId="0" borderId="29" xfId="2" applyNumberFormat="1" applyFont="1" applyFill="1" applyBorder="1"/>
    <xf numFmtId="165" fontId="4" fillId="0" borderId="29" xfId="0" applyNumberFormat="1" applyFont="1" applyFill="1" applyBorder="1"/>
    <xf numFmtId="165" fontId="7" fillId="0" borderId="29" xfId="0" applyNumberFormat="1" applyFont="1" applyFill="1" applyBorder="1"/>
    <xf numFmtId="0" fontId="2" fillId="0" borderId="19" xfId="0" applyFont="1" applyBorder="1"/>
    <xf numFmtId="165" fontId="0" fillId="0" borderId="29" xfId="0" applyNumberFormat="1" applyBorder="1"/>
    <xf numFmtId="0" fontId="4" fillId="0" borderId="19" xfId="0" applyFont="1" applyBorder="1"/>
    <xf numFmtId="0" fontId="4" fillId="0" borderId="29" xfId="0" applyFont="1" applyBorder="1"/>
    <xf numFmtId="0" fontId="7" fillId="0" borderId="29" xfId="0" applyFont="1" applyBorder="1"/>
    <xf numFmtId="164" fontId="4" fillId="0" borderId="19" xfId="0" applyNumberFormat="1" applyFont="1" applyBorder="1"/>
    <xf numFmtId="167" fontId="4" fillId="0" borderId="29" xfId="4" applyNumberFormat="1" applyFont="1" applyBorder="1"/>
    <xf numFmtId="164" fontId="7" fillId="0" borderId="19" xfId="0" applyNumberFormat="1" applyFont="1" applyBorder="1"/>
    <xf numFmtId="40" fontId="4" fillId="0" borderId="29" xfId="0" applyNumberFormat="1" applyFont="1" applyBorder="1"/>
    <xf numFmtId="0" fontId="0" fillId="0" borderId="19" xfId="0" applyBorder="1"/>
    <xf numFmtId="40" fontId="4" fillId="0" borderId="32" xfId="0" applyNumberFormat="1" applyFont="1" applyBorder="1"/>
    <xf numFmtId="164" fontId="7" fillId="0" borderId="19" xfId="1" applyFont="1" applyFill="1" applyBorder="1"/>
    <xf numFmtId="0" fontId="7" fillId="0" borderId="36" xfId="0" applyFont="1" applyBorder="1"/>
    <xf numFmtId="40" fontId="7" fillId="0" borderId="30" xfId="0" applyNumberFormat="1" applyFont="1" applyBorder="1"/>
    <xf numFmtId="0" fontId="7" fillId="0" borderId="19" xfId="0" applyFont="1" applyBorder="1"/>
    <xf numFmtId="40" fontId="7" fillId="0" borderId="29" xfId="0" applyNumberFormat="1" applyFont="1" applyBorder="1"/>
    <xf numFmtId="0" fontId="10" fillId="0" borderId="19" xfId="0" applyFont="1" applyBorder="1"/>
    <xf numFmtId="0" fontId="10" fillId="0" borderId="34" xfId="0" applyFont="1" applyBorder="1"/>
    <xf numFmtId="0" fontId="7" fillId="0" borderId="37" xfId="0" applyFont="1" applyBorder="1" applyAlignment="1">
      <alignment horizontal="right"/>
    </xf>
    <xf numFmtId="40" fontId="7" fillId="0" borderId="11" xfId="0" applyNumberFormat="1" applyFont="1" applyBorder="1"/>
    <xf numFmtId="40" fontId="7" fillId="0" borderId="38" xfId="0" applyNumberFormat="1" applyFont="1" applyBorder="1"/>
    <xf numFmtId="0" fontId="1" fillId="0" borderId="0" xfId="0" applyFont="1" applyFill="1" applyBorder="1" applyAlignment="1">
      <alignment horizontal="center"/>
    </xf>
    <xf numFmtId="3" fontId="4" fillId="0" borderId="3" xfId="1" applyNumberFormat="1" applyFont="1" applyFill="1" applyBorder="1"/>
    <xf numFmtId="3" fontId="4" fillId="0" borderId="17" xfId="1" applyNumberFormat="1" applyFont="1" applyFill="1" applyBorder="1"/>
    <xf numFmtId="164" fontId="7" fillId="0" borderId="9" xfId="1" applyFont="1" applyFill="1" applyBorder="1"/>
    <xf numFmtId="164" fontId="4" fillId="0" borderId="10" xfId="1" applyFont="1" applyFill="1" applyBorder="1"/>
    <xf numFmtId="3" fontId="4" fillId="0" borderId="8" xfId="1" applyNumberFormat="1" applyFont="1" applyFill="1" applyBorder="1"/>
    <xf numFmtId="3" fontId="4" fillId="0" borderId="30" xfId="1" applyNumberFormat="1" applyFont="1" applyFill="1" applyBorder="1"/>
    <xf numFmtId="165" fontId="4" fillId="0" borderId="29" xfId="0" applyNumberFormat="1" applyFont="1" applyBorder="1"/>
    <xf numFmtId="169" fontId="4" fillId="0" borderId="18" xfId="1" applyNumberFormat="1" applyFont="1" applyFill="1" applyBorder="1"/>
    <xf numFmtId="169" fontId="4" fillId="0" borderId="29" xfId="1" applyNumberFormat="1" applyFont="1" applyFill="1" applyBorder="1"/>
    <xf numFmtId="164" fontId="7" fillId="0" borderId="12" xfId="1" applyFont="1" applyFill="1" applyBorder="1" applyAlignment="1">
      <alignment horizontal="right"/>
    </xf>
    <xf numFmtId="4" fontId="4" fillId="0" borderId="13" xfId="1" applyNumberFormat="1" applyFont="1" applyFill="1" applyBorder="1"/>
    <xf numFmtId="4" fontId="4" fillId="0" borderId="14" xfId="1" applyNumberFormat="1" applyFont="1" applyFill="1" applyBorder="1"/>
    <xf numFmtId="0" fontId="5" fillId="0" borderId="26" xfId="0" applyFont="1" applyFill="1" applyBorder="1"/>
    <xf numFmtId="164" fontId="7" fillId="0" borderId="33" xfId="1" applyFont="1" applyFill="1" applyBorder="1"/>
    <xf numFmtId="3" fontId="4" fillId="0" borderId="22" xfId="2" applyNumberFormat="1" applyFont="1" applyFill="1" applyBorder="1"/>
    <xf numFmtId="3" fontId="4" fillId="0" borderId="28" xfId="2" applyNumberFormat="1" applyFont="1" applyFill="1" applyBorder="1"/>
    <xf numFmtId="9" fontId="4" fillId="0" borderId="3" xfId="3" applyFont="1" applyFill="1" applyBorder="1"/>
    <xf numFmtId="0" fontId="0" fillId="0" borderId="0" xfId="0" applyAlignment="1">
      <alignment horizontal="center" wrapText="1"/>
    </xf>
    <xf numFmtId="9" fontId="4" fillId="0" borderId="17" xfId="3" applyFont="1" applyFill="1" applyBorder="1"/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5">
    <cellStyle name="Komma" xfId="4" builtinId="3"/>
    <cellStyle name="Normal" xfId="0" builtinId="0"/>
    <cellStyle name="Normal_Ark1" xfId="1"/>
    <cellStyle name="Prosent" xfId="3" builtinId="5"/>
    <cellStyle name="Tusenskille_Ark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utsetnin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nnverdier og priser"/>
      <sheetName val="CO2-avgift, grunnavgift"/>
      <sheetName val="CO2-kvoter"/>
      <sheetName val="byggetid levetid rente"/>
      <sheetName val="NOX avgift"/>
    </sheetNames>
    <sheetDataSet>
      <sheetData sheetId="0">
        <row r="48">
          <cell r="D48">
            <v>19.347380258899673</v>
          </cell>
        </row>
        <row r="49">
          <cell r="D49">
            <v>38.200000000000003</v>
          </cell>
        </row>
        <row r="57">
          <cell r="D57">
            <v>40.986394557823125</v>
          </cell>
        </row>
        <row r="58">
          <cell r="D58">
            <v>52.290916366546604</v>
          </cell>
        </row>
      </sheetData>
      <sheetData sheetId="1">
        <row r="4">
          <cell r="F4">
            <v>16.03641456582633</v>
          </cell>
          <cell r="H4">
            <v>12.004801920768307</v>
          </cell>
        </row>
        <row r="6">
          <cell r="H6">
            <v>8.7378640776699026</v>
          </cell>
        </row>
        <row r="7">
          <cell r="H7">
            <v>9.7122302158273381</v>
          </cell>
        </row>
      </sheetData>
      <sheetData sheetId="2"/>
      <sheetData sheetId="3">
        <row r="1">
          <cell r="C1">
            <v>1.07973174366617</v>
          </cell>
        </row>
        <row r="7">
          <cell r="C7">
            <v>1</v>
          </cell>
        </row>
        <row r="32">
          <cell r="C32">
            <v>25</v>
          </cell>
          <cell r="D32">
            <v>0.06</v>
          </cell>
          <cell r="E32">
            <v>1E-3</v>
          </cell>
        </row>
      </sheetData>
      <sheetData sheetId="4">
        <row r="6">
          <cell r="H6">
            <v>1.9109081510934387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/>
  </sheetViews>
  <sheetFormatPr baseColWidth="10" defaultRowHeight="15" x14ac:dyDescent="0.25"/>
  <cols>
    <col min="1" max="1" width="16.85546875" customWidth="1"/>
    <col min="3" max="3" width="12.5703125" bestFit="1" customWidth="1"/>
    <col min="7" max="7" width="26.7109375" customWidth="1"/>
    <col min="8" max="8" width="16.5703125" customWidth="1"/>
    <col min="9" max="9" width="13.42578125" customWidth="1"/>
    <col min="10" max="10" width="15.7109375" customWidth="1"/>
    <col min="11" max="11" width="17.7109375" customWidth="1"/>
    <col min="12" max="12" width="24.42578125" customWidth="1"/>
    <col min="13" max="13" width="27.7109375" customWidth="1"/>
  </cols>
  <sheetData>
    <row r="1" spans="1:13" ht="15.75" thickBot="1" x14ac:dyDescent="0.3"/>
    <row r="2" spans="1:13" x14ac:dyDescent="0.25">
      <c r="A2" s="14"/>
      <c r="B2" s="14" t="s">
        <v>24</v>
      </c>
      <c r="C2" s="15"/>
      <c r="D2" s="27"/>
      <c r="G2" s="33" t="s">
        <v>27</v>
      </c>
      <c r="H2" s="34"/>
      <c r="I2" s="34"/>
      <c r="J2" s="34"/>
      <c r="K2" s="35"/>
      <c r="L2" s="17"/>
      <c r="M2" s="17"/>
    </row>
    <row r="3" spans="1:13" x14ac:dyDescent="0.25">
      <c r="A3" s="14" t="s">
        <v>20</v>
      </c>
      <c r="B3" t="s">
        <v>19</v>
      </c>
      <c r="C3">
        <f>'[1]byggetid levetid rente'!$C$7</f>
        <v>1</v>
      </c>
      <c r="E3" s="16"/>
      <c r="F3" s="16"/>
      <c r="G3" s="18"/>
      <c r="H3" s="19" t="s">
        <v>30</v>
      </c>
      <c r="I3" s="20"/>
      <c r="J3" s="20"/>
      <c r="K3" s="21"/>
      <c r="L3" s="17"/>
      <c r="M3" s="17"/>
    </row>
    <row r="4" spans="1:13" x14ac:dyDescent="0.25">
      <c r="A4" s="14" t="s">
        <v>21</v>
      </c>
      <c r="B4" t="s">
        <v>19</v>
      </c>
      <c r="C4" s="25">
        <f>'[1]byggetid levetid rente'!$C$32</f>
        <v>25</v>
      </c>
      <c r="E4" s="16"/>
      <c r="F4" s="16"/>
      <c r="G4" s="18" t="s">
        <v>1</v>
      </c>
      <c r="H4" s="77" t="s">
        <v>44</v>
      </c>
      <c r="I4" s="22">
        <v>0.1</v>
      </c>
      <c r="J4" s="22">
        <v>1</v>
      </c>
      <c r="K4" s="23">
        <v>10</v>
      </c>
      <c r="L4" s="30" t="s">
        <v>15</v>
      </c>
      <c r="M4" s="30" t="s">
        <v>14</v>
      </c>
    </row>
    <row r="5" spans="1:13" x14ac:dyDescent="0.25">
      <c r="A5" s="14" t="s">
        <v>25</v>
      </c>
      <c r="B5" t="s">
        <v>23</v>
      </c>
      <c r="C5" s="28">
        <f>'[1]byggetid levetid rente'!$D$32</f>
        <v>0.06</v>
      </c>
      <c r="E5" s="16"/>
      <c r="F5" s="16"/>
      <c r="G5" s="2" t="s">
        <v>31</v>
      </c>
      <c r="H5" s="8" t="s">
        <v>2</v>
      </c>
      <c r="I5" s="104">
        <v>8500</v>
      </c>
      <c r="J5" s="104">
        <v>8500</v>
      </c>
      <c r="K5" s="105">
        <v>8500</v>
      </c>
      <c r="L5" t="s">
        <v>60</v>
      </c>
    </row>
    <row r="6" spans="1:13" ht="30" x14ac:dyDescent="0.25">
      <c r="A6" s="14" t="s">
        <v>22</v>
      </c>
      <c r="B6" s="11" t="s">
        <v>26</v>
      </c>
      <c r="C6" s="29">
        <f>'[1]byggetid levetid rente'!$E$32</f>
        <v>1E-3</v>
      </c>
      <c r="E6" s="11"/>
      <c r="F6" s="11"/>
      <c r="G6" s="2" t="s">
        <v>64</v>
      </c>
      <c r="H6" s="8" t="s">
        <v>0</v>
      </c>
      <c r="I6" s="120">
        <v>0.33</v>
      </c>
      <c r="J6" s="120">
        <v>0.38</v>
      </c>
      <c r="K6" s="122">
        <v>0.41</v>
      </c>
      <c r="L6" t="s">
        <v>60</v>
      </c>
      <c r="M6" s="121" t="s">
        <v>65</v>
      </c>
    </row>
    <row r="7" spans="1:13" x14ac:dyDescent="0.25">
      <c r="A7" s="14" t="s">
        <v>29</v>
      </c>
      <c r="B7" s="11" t="s">
        <v>28</v>
      </c>
      <c r="C7" s="32">
        <f>'[1]byggetid levetid rente'!$C$1</f>
        <v>1.07973174366617</v>
      </c>
      <c r="D7" s="11"/>
      <c r="E7" s="11"/>
      <c r="F7" s="11"/>
      <c r="G7" s="3" t="s">
        <v>3</v>
      </c>
      <c r="H7" s="4"/>
      <c r="I7" s="106"/>
      <c r="J7" s="106"/>
      <c r="K7" s="107"/>
    </row>
    <row r="8" spans="1:13" x14ac:dyDescent="0.25">
      <c r="A8" s="116"/>
      <c r="B8" s="11"/>
      <c r="C8" s="26"/>
      <c r="E8" s="11"/>
      <c r="F8" s="11"/>
      <c r="G8" s="5" t="s">
        <v>4</v>
      </c>
      <c r="H8" s="6" t="s">
        <v>45</v>
      </c>
      <c r="I8" s="7">
        <f>4250*C7</f>
        <v>4588.8599105812227</v>
      </c>
      <c r="J8" s="7">
        <f>2100*C7</f>
        <v>2267.4366616989569</v>
      </c>
      <c r="K8" s="31">
        <f>1880*C7</f>
        <v>2029.8956780923995</v>
      </c>
      <c r="L8" s="123" t="s">
        <v>61</v>
      </c>
      <c r="M8" s="124" t="s">
        <v>62</v>
      </c>
    </row>
    <row r="9" spans="1:13" x14ac:dyDescent="0.25">
      <c r="E9" s="11"/>
      <c r="F9" s="11"/>
      <c r="G9" s="5" t="s">
        <v>5</v>
      </c>
      <c r="H9" s="6" t="s">
        <v>45</v>
      </c>
      <c r="I9" s="7">
        <f>1275*C7</f>
        <v>1376.6579731743668</v>
      </c>
      <c r="J9" s="7">
        <f>630*C7</f>
        <v>680.23099850968708</v>
      </c>
      <c r="K9" s="31">
        <f>375*C7</f>
        <v>404.89940387481374</v>
      </c>
      <c r="L9" s="123"/>
      <c r="M9" s="124"/>
    </row>
    <row r="10" spans="1:13" x14ac:dyDescent="0.25">
      <c r="B10" s="11"/>
      <c r="C10" s="11"/>
      <c r="D10" s="11"/>
      <c r="E10" s="11"/>
      <c r="F10" s="11"/>
      <c r="G10" s="5" t="s">
        <v>6</v>
      </c>
      <c r="H10" s="6" t="s">
        <v>45</v>
      </c>
      <c r="I10" s="7"/>
      <c r="J10" s="7">
        <f>660*C7</f>
        <v>712.62295081967216</v>
      </c>
      <c r="K10" s="31">
        <f>230*C7</f>
        <v>248.3383010432191</v>
      </c>
      <c r="L10" s="123"/>
      <c r="M10" s="124"/>
    </row>
    <row r="11" spans="1:13" x14ac:dyDescent="0.25">
      <c r="A11" s="45"/>
      <c r="B11" s="45"/>
      <c r="C11" s="46" t="s">
        <v>54</v>
      </c>
      <c r="D11" s="47" t="s">
        <v>55</v>
      </c>
      <c r="E11" s="47" t="s">
        <v>56</v>
      </c>
      <c r="F11" s="103"/>
      <c r="G11" s="5" t="s">
        <v>7</v>
      </c>
      <c r="H11" s="6" t="s">
        <v>45</v>
      </c>
      <c r="I11" s="7">
        <f>830*C7</f>
        <v>896.17734724292109</v>
      </c>
      <c r="J11" s="7">
        <f>410*C7</f>
        <v>442.69001490312968</v>
      </c>
      <c r="K11" s="31">
        <f>340*C7</f>
        <v>367.10879284649781</v>
      </c>
      <c r="L11" s="123"/>
      <c r="M11" s="124"/>
    </row>
    <row r="12" spans="1:13" x14ac:dyDescent="0.25">
      <c r="A12" s="45" t="s">
        <v>57</v>
      </c>
      <c r="B12" s="48" t="s">
        <v>53</v>
      </c>
      <c r="C12" s="53">
        <f>'[1]Brennverdier og priser'!$D$58</f>
        <v>52.290916366546604</v>
      </c>
      <c r="D12" s="53">
        <f>'[1]Brennverdier og priser'!$D$48</f>
        <v>19.347380258899673</v>
      </c>
      <c r="E12" s="51">
        <f>'[1]Brennverdier og priser'!$D$49</f>
        <v>38.200000000000003</v>
      </c>
      <c r="F12" s="49"/>
      <c r="G12" s="5" t="s">
        <v>32</v>
      </c>
      <c r="H12" s="6" t="s">
        <v>45</v>
      </c>
      <c r="I12" s="38">
        <f>SUM(I8:I11)*(((1+($C$5))*((1+$C$5)^($C$3)-1))/($C$5*$C$3))-SUM(I8:I11)</f>
        <v>411.70171385991671</v>
      </c>
      <c r="J12" s="38">
        <f>SUM(J8:J11)*(((1+($C$5))*((1+$C$5)^($C$3)-1))/($C$5*$C$3))-SUM(J8:J11)</f>
        <v>246.17883755589082</v>
      </c>
      <c r="K12" s="39">
        <f t="shared" ref="K12" si="0">SUM(K8:K11)*(((1+($C$5))*((1+$C$5)^($C$3)-1))/($C$5*$C$3))-SUM(K8:K11)</f>
        <v>183.01453055141883</v>
      </c>
      <c r="L12" s="123"/>
      <c r="M12" s="124"/>
    </row>
    <row r="13" spans="1:13" x14ac:dyDescent="0.25">
      <c r="A13" s="45" t="s">
        <v>58</v>
      </c>
      <c r="B13" s="48" t="s">
        <v>53</v>
      </c>
      <c r="C13" s="51">
        <f>'[1]Brennverdier og priser'!$D$57</f>
        <v>40.986394557823125</v>
      </c>
      <c r="D13" s="51">
        <f>'[1]Brennverdier og priser'!$D$48</f>
        <v>19.347380258899673</v>
      </c>
      <c r="E13" s="51">
        <f>'[1]Brennverdier og priser'!$D$49</f>
        <v>38.200000000000003</v>
      </c>
      <c r="F13" s="49"/>
      <c r="G13" s="117" t="s">
        <v>8</v>
      </c>
      <c r="H13" s="10" t="s">
        <v>46</v>
      </c>
      <c r="I13" s="118">
        <f>SUM(I8:I12)</f>
        <v>7273.3969448584276</v>
      </c>
      <c r="J13" s="118">
        <f t="shared" ref="J13:K13" si="1">SUM(J8:J12)</f>
        <v>4349.1594634873363</v>
      </c>
      <c r="K13" s="119">
        <f t="shared" si="1"/>
        <v>3233.2567064083487</v>
      </c>
      <c r="L13" s="123"/>
      <c r="M13" s="124"/>
    </row>
    <row r="14" spans="1:13" x14ac:dyDescent="0.25">
      <c r="A14" s="14" t="s">
        <v>9</v>
      </c>
      <c r="B14" s="48" t="s">
        <v>53</v>
      </c>
      <c r="C14" s="51">
        <f>'[1]CO2-avgift, grunnavgift'!$H$4</f>
        <v>12.004801920768307</v>
      </c>
      <c r="D14" s="51">
        <f>'[1]CO2-avgift, grunnavgift'!$H$6</f>
        <v>8.7378640776699026</v>
      </c>
      <c r="E14" s="51">
        <f>'[1]CO2-avgift, grunnavgift'!$H$7</f>
        <v>9.7122302158273381</v>
      </c>
      <c r="F14" s="51"/>
      <c r="G14" s="2" t="s">
        <v>33</v>
      </c>
      <c r="H14" s="8" t="s">
        <v>47</v>
      </c>
      <c r="I14" s="7">
        <f>1520*C7</f>
        <v>1641.1922503725784</v>
      </c>
      <c r="J14" s="7">
        <f>442*C7</f>
        <v>477.24143070044715</v>
      </c>
      <c r="K14" s="31">
        <f>185*C7</f>
        <v>199.75037257824144</v>
      </c>
      <c r="L14" t="s">
        <v>61</v>
      </c>
      <c r="M14" t="s">
        <v>63</v>
      </c>
    </row>
    <row r="15" spans="1:13" x14ac:dyDescent="0.25">
      <c r="A15" s="50" t="s">
        <v>51</v>
      </c>
      <c r="B15" s="48" t="s">
        <v>53</v>
      </c>
      <c r="C15" s="51">
        <f>'[1]CO2-avgift, grunnavgift'!$F$4</f>
        <v>16.03641456582633</v>
      </c>
      <c r="D15" s="51">
        <v>0</v>
      </c>
      <c r="E15" s="51">
        <v>0</v>
      </c>
      <c r="F15" s="52"/>
      <c r="G15" s="78" t="s">
        <v>11</v>
      </c>
      <c r="H15" s="74"/>
      <c r="I15" s="108"/>
      <c r="J15" s="108"/>
      <c r="K15" s="109"/>
    </row>
    <row r="16" spans="1:13" x14ac:dyDescent="0.25">
      <c r="A16" s="50" t="s">
        <v>10</v>
      </c>
      <c r="B16" s="48" t="s">
        <v>53</v>
      </c>
      <c r="C16" s="51">
        <f>'[1]NOX avgift'!$H$6</f>
        <v>1.9109081510934387</v>
      </c>
      <c r="D16" s="51">
        <f>'[1]NOX avgift'!$H$6</f>
        <v>1.9109081510934387</v>
      </c>
      <c r="E16" s="51">
        <f>'[1]NOX avgift'!$H$6</f>
        <v>1.9109081510934387</v>
      </c>
      <c r="F16" s="52"/>
      <c r="G16" s="9" t="s">
        <v>34</v>
      </c>
      <c r="H16" s="54" t="s">
        <v>50</v>
      </c>
      <c r="I16" s="67">
        <f>1/I6</f>
        <v>3.0303030303030303</v>
      </c>
      <c r="J16" s="67">
        <f>1/J6</f>
        <v>2.6315789473684212</v>
      </c>
      <c r="K16" s="40">
        <f>1/K6</f>
        <v>2.4390243902439024</v>
      </c>
    </row>
    <row r="17" spans="7:11" x14ac:dyDescent="0.25">
      <c r="G17" s="9" t="s">
        <v>37</v>
      </c>
      <c r="H17" s="54"/>
      <c r="I17" s="67"/>
      <c r="J17" s="36"/>
      <c r="K17" s="37"/>
    </row>
    <row r="18" spans="7:11" x14ac:dyDescent="0.25">
      <c r="G18" s="9" t="s">
        <v>38</v>
      </c>
      <c r="H18" s="54" t="s">
        <v>52</v>
      </c>
      <c r="I18" s="68">
        <f>C12</f>
        <v>52.290916366546604</v>
      </c>
      <c r="J18" s="68">
        <f>C13</f>
        <v>40.986394557823125</v>
      </c>
      <c r="K18" s="79">
        <f>C13</f>
        <v>40.986394557823125</v>
      </c>
    </row>
    <row r="19" spans="7:11" x14ac:dyDescent="0.25">
      <c r="G19" s="9" t="s">
        <v>39</v>
      </c>
      <c r="H19" s="54" t="s">
        <v>52</v>
      </c>
      <c r="I19" s="111">
        <f>D12</f>
        <v>19.347380258899673</v>
      </c>
      <c r="J19" s="111">
        <f>D13</f>
        <v>19.347380258899673</v>
      </c>
      <c r="K19" s="112">
        <f>D13</f>
        <v>19.347380258899673</v>
      </c>
    </row>
    <row r="20" spans="7:11" x14ac:dyDescent="0.25">
      <c r="G20" s="9" t="s">
        <v>36</v>
      </c>
      <c r="H20" s="54" t="s">
        <v>52</v>
      </c>
      <c r="I20" s="69">
        <f>E12</f>
        <v>38.200000000000003</v>
      </c>
      <c r="J20" s="69">
        <f>E13</f>
        <v>38.200000000000003</v>
      </c>
      <c r="K20" s="80">
        <f>E13</f>
        <v>38.200000000000003</v>
      </c>
    </row>
    <row r="21" spans="7:11" x14ac:dyDescent="0.25">
      <c r="G21" s="9" t="s">
        <v>9</v>
      </c>
      <c r="H21" s="55"/>
      <c r="I21" s="36"/>
      <c r="J21" s="36"/>
      <c r="K21" s="37"/>
    </row>
    <row r="22" spans="7:11" x14ac:dyDescent="0.25">
      <c r="G22" s="9" t="s">
        <v>38</v>
      </c>
      <c r="H22" s="54" t="s">
        <v>52</v>
      </c>
      <c r="I22" s="70">
        <f>$C$14</f>
        <v>12.004801920768307</v>
      </c>
      <c r="J22" s="70">
        <f>$C$14</f>
        <v>12.004801920768307</v>
      </c>
      <c r="K22" s="81">
        <f>$C$14</f>
        <v>12.004801920768307</v>
      </c>
    </row>
    <row r="23" spans="7:11" x14ac:dyDescent="0.25">
      <c r="G23" s="82" t="s">
        <v>39</v>
      </c>
      <c r="H23" s="54" t="s">
        <v>52</v>
      </c>
      <c r="I23" s="71">
        <f>$D$14</f>
        <v>8.7378640776699026</v>
      </c>
      <c r="J23" s="71">
        <f>$D$14</f>
        <v>8.7378640776699026</v>
      </c>
      <c r="K23" s="83">
        <f>$D$14</f>
        <v>8.7378640776699026</v>
      </c>
    </row>
    <row r="24" spans="7:11" x14ac:dyDescent="0.25">
      <c r="G24" s="9" t="s">
        <v>36</v>
      </c>
      <c r="H24" s="54" t="s">
        <v>52</v>
      </c>
      <c r="I24" s="67">
        <f>$E$14</f>
        <v>9.7122302158273381</v>
      </c>
      <c r="J24" s="67">
        <f>$E$14</f>
        <v>9.7122302158273381</v>
      </c>
      <c r="K24" s="40">
        <f>$E$14</f>
        <v>9.7122302158273381</v>
      </c>
    </row>
    <row r="25" spans="7:11" x14ac:dyDescent="0.25">
      <c r="G25" s="84" t="s">
        <v>10</v>
      </c>
      <c r="H25" s="13"/>
      <c r="I25" s="42"/>
      <c r="J25" s="42"/>
      <c r="K25" s="85"/>
    </row>
    <row r="26" spans="7:11" x14ac:dyDescent="0.25">
      <c r="G26" s="9" t="s">
        <v>38</v>
      </c>
      <c r="H26" s="54" t="s">
        <v>52</v>
      </c>
      <c r="I26" s="42"/>
      <c r="J26" s="42"/>
      <c r="K26" s="110">
        <f>$C$16</f>
        <v>1.9109081510934387</v>
      </c>
    </row>
    <row r="27" spans="7:11" x14ac:dyDescent="0.25">
      <c r="G27" s="82" t="s">
        <v>39</v>
      </c>
      <c r="H27" s="54" t="s">
        <v>52</v>
      </c>
      <c r="I27" s="42"/>
      <c r="J27" s="42"/>
      <c r="K27" s="110">
        <f>D16</f>
        <v>1.9109081510934387</v>
      </c>
    </row>
    <row r="28" spans="7:11" x14ac:dyDescent="0.25">
      <c r="G28" s="9" t="s">
        <v>36</v>
      </c>
      <c r="H28" s="54" t="s">
        <v>52</v>
      </c>
      <c r="I28" s="42"/>
      <c r="J28" s="42"/>
      <c r="K28" s="110">
        <f>E16</f>
        <v>1.9109081510934387</v>
      </c>
    </row>
    <row r="29" spans="7:11" x14ac:dyDescent="0.25">
      <c r="G29" s="9" t="s">
        <v>51</v>
      </c>
      <c r="H29" s="56"/>
      <c r="I29" s="66"/>
      <c r="J29" s="66"/>
      <c r="K29" s="86"/>
    </row>
    <row r="30" spans="7:11" x14ac:dyDescent="0.25">
      <c r="G30" s="87" t="s">
        <v>38</v>
      </c>
      <c r="H30" s="54" t="s">
        <v>52</v>
      </c>
      <c r="I30" s="72">
        <f>$C$15</f>
        <v>16.03641456582633</v>
      </c>
      <c r="J30" s="72">
        <f>$C$15</f>
        <v>16.03641456582633</v>
      </c>
      <c r="K30" s="88">
        <f>$C$15</f>
        <v>16.03641456582633</v>
      </c>
    </row>
    <row r="31" spans="7:11" x14ac:dyDescent="0.25">
      <c r="G31" s="89" t="s">
        <v>59</v>
      </c>
      <c r="H31" s="57"/>
      <c r="I31" s="43"/>
      <c r="J31" s="43"/>
      <c r="K31" s="90"/>
    </row>
    <row r="32" spans="7:11" x14ac:dyDescent="0.25">
      <c r="G32" s="87" t="s">
        <v>38</v>
      </c>
      <c r="H32" s="57" t="s">
        <v>48</v>
      </c>
      <c r="I32" s="43">
        <f>(I18+I22+I26+I30)*I$16</f>
        <v>243.43070561557954</v>
      </c>
      <c r="J32" s="43">
        <f>(J18+J22+J26+J30)*J$16</f>
        <v>181.65160801162571</v>
      </c>
      <c r="K32" s="90">
        <f>(K18+K22+K26+K30)*K$16</f>
        <v>173.02077852563707</v>
      </c>
    </row>
    <row r="33" spans="7:13" x14ac:dyDescent="0.25">
      <c r="G33" s="91" t="s">
        <v>35</v>
      </c>
      <c r="H33" s="54" t="s">
        <v>48</v>
      </c>
      <c r="I33" s="43">
        <f t="shared" ref="I33:K34" si="2">(I19+I23+I27)*I$16</f>
        <v>85.106801019907792</v>
      </c>
      <c r="J33" s="43">
        <f t="shared" si="2"/>
        <v>73.908537727814675</v>
      </c>
      <c r="K33" s="90">
        <f t="shared" si="2"/>
        <v>73.161347530885394</v>
      </c>
    </row>
    <row r="34" spans="7:13" x14ac:dyDescent="0.25">
      <c r="G34" s="41" t="s">
        <v>40</v>
      </c>
      <c r="H34" s="75" t="s">
        <v>48</v>
      </c>
      <c r="I34" s="44">
        <f t="shared" si="2"/>
        <v>145.18857641159801</v>
      </c>
      <c r="J34" s="44">
        <f t="shared" si="2"/>
        <v>126.08481635744039</v>
      </c>
      <c r="K34" s="92">
        <f t="shared" si="2"/>
        <v>121.51984967541654</v>
      </c>
    </row>
    <row r="35" spans="7:13" x14ac:dyDescent="0.25">
      <c r="G35" s="93" t="s">
        <v>41</v>
      </c>
      <c r="H35" s="57" t="s">
        <v>48</v>
      </c>
      <c r="I35" s="67">
        <f>14*C7</f>
        <v>15.116244411326379</v>
      </c>
      <c r="J35" s="67">
        <f>4.5*C7</f>
        <v>4.8587928464977646</v>
      </c>
      <c r="K35" s="40">
        <f>1.4*C7</f>
        <v>1.5116244411326378</v>
      </c>
      <c r="L35" t="s">
        <v>61</v>
      </c>
      <c r="M35" t="s">
        <v>63</v>
      </c>
    </row>
    <row r="36" spans="7:13" x14ac:dyDescent="0.25">
      <c r="G36" s="94" t="s">
        <v>17</v>
      </c>
      <c r="H36" s="12"/>
      <c r="I36" s="76"/>
      <c r="J36" s="76"/>
      <c r="K36" s="95"/>
    </row>
    <row r="37" spans="7:13" x14ac:dyDescent="0.25">
      <c r="G37" s="96" t="s">
        <v>38</v>
      </c>
      <c r="H37" s="56" t="s">
        <v>48</v>
      </c>
      <c r="I37" s="73">
        <f t="shared" ref="I37:K39" si="3">(SUM(I$47:I$49)+I51)/I$54</f>
        <v>287.25832688625815</v>
      </c>
      <c r="J37" s="73">
        <f t="shared" si="3"/>
        <v>197.99508991491379</v>
      </c>
      <c r="K37" s="97">
        <f t="shared" si="3"/>
        <v>181.57059415260792</v>
      </c>
    </row>
    <row r="38" spans="7:13" x14ac:dyDescent="0.25">
      <c r="G38" s="98" t="s">
        <v>35</v>
      </c>
      <c r="H38" s="56" t="s">
        <v>48</v>
      </c>
      <c r="I38" s="73">
        <f t="shared" si="3"/>
        <v>127.4268917783963</v>
      </c>
      <c r="J38" s="73">
        <f t="shared" si="3"/>
        <v>89.226110332410983</v>
      </c>
      <c r="K38" s="97">
        <f t="shared" si="3"/>
        <v>80.760320393215096</v>
      </c>
    </row>
    <row r="39" spans="7:13" ht="15.75" thickBot="1" x14ac:dyDescent="0.3">
      <c r="G39" s="99" t="s">
        <v>40</v>
      </c>
      <c r="H39" s="100" t="s">
        <v>48</v>
      </c>
      <c r="I39" s="101">
        <f t="shared" si="3"/>
        <v>188.08075456182212</v>
      </c>
      <c r="J39" s="101">
        <f t="shared" si="3"/>
        <v>141.89920169696492</v>
      </c>
      <c r="K39" s="102">
        <f t="shared" si="3"/>
        <v>129.57928312133822</v>
      </c>
    </row>
    <row r="40" spans="7:13" ht="64.5" customHeight="1" x14ac:dyDescent="0.25">
      <c r="G40" s="1" t="s">
        <v>16</v>
      </c>
      <c r="H40" s="113"/>
      <c r="I40" s="114">
        <v>1</v>
      </c>
      <c r="J40" s="114">
        <v>1</v>
      </c>
      <c r="K40" s="115">
        <v>1</v>
      </c>
      <c r="L40" s="125" t="s">
        <v>66</v>
      </c>
      <c r="M40" s="124"/>
    </row>
    <row r="41" spans="7:13" x14ac:dyDescent="0.25">
      <c r="G41" s="94" t="s">
        <v>18</v>
      </c>
      <c r="H41" s="12"/>
      <c r="I41" s="76"/>
      <c r="J41" s="76"/>
      <c r="K41" s="95"/>
    </row>
    <row r="42" spans="7:13" x14ac:dyDescent="0.25">
      <c r="G42" s="96" t="s">
        <v>38</v>
      </c>
      <c r="H42" s="56" t="s">
        <v>48</v>
      </c>
      <c r="I42" s="73">
        <f>I$40*I37</f>
        <v>287.25832688625815</v>
      </c>
      <c r="J42" s="73">
        <f t="shared" ref="J42:K42" si="4">J$40*J37</f>
        <v>197.99508991491379</v>
      </c>
      <c r="K42" s="97">
        <f t="shared" si="4"/>
        <v>181.57059415260792</v>
      </c>
    </row>
    <row r="43" spans="7:13" x14ac:dyDescent="0.25">
      <c r="G43" s="98" t="s">
        <v>35</v>
      </c>
      <c r="H43" s="56" t="s">
        <v>48</v>
      </c>
      <c r="I43" s="73">
        <f t="shared" ref="I43:K44" si="5">I$40*I38</f>
        <v>127.4268917783963</v>
      </c>
      <c r="J43" s="73">
        <f t="shared" si="5"/>
        <v>89.226110332410983</v>
      </c>
      <c r="K43" s="97">
        <f t="shared" si="5"/>
        <v>80.760320393215096</v>
      </c>
    </row>
    <row r="44" spans="7:13" ht="15.75" thickBot="1" x14ac:dyDescent="0.3">
      <c r="G44" s="99" t="s">
        <v>40</v>
      </c>
      <c r="H44" s="100" t="s">
        <v>48</v>
      </c>
      <c r="I44" s="101">
        <f t="shared" si="5"/>
        <v>188.08075456182212</v>
      </c>
      <c r="J44" s="101">
        <f t="shared" si="5"/>
        <v>141.89920169696492</v>
      </c>
      <c r="K44" s="102">
        <f t="shared" si="5"/>
        <v>129.57928312133822</v>
      </c>
    </row>
    <row r="46" spans="7:13" x14ac:dyDescent="0.25">
      <c r="G46" t="s">
        <v>12</v>
      </c>
    </row>
    <row r="47" spans="7:13" x14ac:dyDescent="0.25">
      <c r="G47" s="58" t="s">
        <v>3</v>
      </c>
      <c r="H47" s="63" t="s">
        <v>13</v>
      </c>
      <c r="I47" s="59">
        <f>I4*1000*100*I13</f>
        <v>72733969.448584273</v>
      </c>
      <c r="J47" s="59">
        <f t="shared" ref="J47:K47" si="6">J4*1000*100*J13</f>
        <v>434915946.3487336</v>
      </c>
      <c r="K47" s="59">
        <f t="shared" si="6"/>
        <v>3233256706.4083486</v>
      </c>
    </row>
    <row r="48" spans="7:13" x14ac:dyDescent="0.25">
      <c r="G48" s="60" t="s">
        <v>33</v>
      </c>
      <c r="H48" s="64" t="s">
        <v>13</v>
      </c>
      <c r="I48" s="61">
        <f>-PV($C$5,$C$4,I14*100*1000*I4)</f>
        <v>209799450.60702699</v>
      </c>
      <c r="J48" s="61">
        <f t="shared" ref="J48:K48" si="7">-PV($C$5,$C$4,J14*100*1000*J4)</f>
        <v>610074718.21253896</v>
      </c>
      <c r="K48" s="61">
        <f t="shared" si="7"/>
        <v>2553480155.4144726</v>
      </c>
    </row>
    <row r="49" spans="7:11" x14ac:dyDescent="0.25">
      <c r="G49" s="60" t="s">
        <v>41</v>
      </c>
      <c r="H49" s="64" t="s">
        <v>13</v>
      </c>
      <c r="I49" s="61">
        <f>-PV($C$5,$C$4,I35*1000*I4*I5)</f>
        <v>164250885.67260662</v>
      </c>
      <c r="J49" s="61">
        <f>-PV($C$5,$C$4,J35*1000*J4*J5)</f>
        <v>527949275.37623549</v>
      </c>
      <c r="K49" s="61">
        <f t="shared" ref="K49" si="8">-PV($C$5,$C$4,K35*1000*K4*K5)</f>
        <v>1642508856.7260661</v>
      </c>
    </row>
    <row r="50" spans="7:11" x14ac:dyDescent="0.25">
      <c r="G50" s="60" t="s">
        <v>42</v>
      </c>
      <c r="H50" s="64"/>
      <c r="I50" s="25"/>
      <c r="J50" s="25"/>
      <c r="K50" s="25"/>
    </row>
    <row r="51" spans="7:11" x14ac:dyDescent="0.25">
      <c r="G51" s="60" t="s">
        <v>38</v>
      </c>
      <c r="H51" s="64" t="s">
        <v>13</v>
      </c>
      <c r="I51" s="61">
        <f>-PV($C$5,$C$4,I32*1000*I$4*I$5)</f>
        <v>2645082198.2811618</v>
      </c>
      <c r="J51" s="61">
        <f t="shared" ref="J51:K51" si="9">-PV($C$5,$C$4,J32*1000*J$4*J$5)</f>
        <v>19737996216.445591</v>
      </c>
      <c r="K51" s="61">
        <f t="shared" si="9"/>
        <v>188001829947.29831</v>
      </c>
    </row>
    <row r="52" spans="7:11" x14ac:dyDescent="0.25">
      <c r="G52" s="60" t="s">
        <v>35</v>
      </c>
      <c r="H52" s="64" t="s">
        <v>13</v>
      </c>
      <c r="I52" s="61">
        <f>-PV($C$5,$C$4,I33*1000*I$4*I$5)</f>
        <v>924757966.58910835</v>
      </c>
      <c r="J52" s="61">
        <f>-PV($C$5,$C$4,J33*1000*J$4*J$5)</f>
        <v>8030792867.7475204</v>
      </c>
      <c r="K52" s="61">
        <f t="shared" ref="K52" si="10">-PV($C$5,$C$4,K33*1000*K$4*K$5)</f>
        <v>79496042813.023544</v>
      </c>
    </row>
    <row r="53" spans="7:11" x14ac:dyDescent="0.25">
      <c r="G53" s="60" t="s">
        <v>40</v>
      </c>
      <c r="H53" s="64" t="s">
        <v>13</v>
      </c>
      <c r="I53" s="61">
        <f>-PV($C$5,$C$4,I34*1000*I$4*I$5)</f>
        <v>1577597690.0242119</v>
      </c>
      <c r="J53" s="61">
        <f>-PV($C$5,$C$4,J34*1000*J$4*J$5)</f>
        <v>13700190465.999733</v>
      </c>
      <c r="K53" s="61">
        <f t="shared" ref="K53" si="11">-PV($C$5,$C$4,K34*1000*K$4*K$5)</f>
        <v>132041679089.50743</v>
      </c>
    </row>
    <row r="54" spans="7:11" x14ac:dyDescent="0.25">
      <c r="G54" s="24" t="s">
        <v>43</v>
      </c>
      <c r="H54" s="65" t="s">
        <v>49</v>
      </c>
      <c r="I54" s="62">
        <f>-PV($C$5+$C$6,$C$4,1000*I$4*I$5)</f>
        <v>10763365.983237885</v>
      </c>
      <c r="J54" s="62">
        <f>-PV($C$5+$C$6,$C$4,1000*J$4*J$5)</f>
        <v>107633659.83237886</v>
      </c>
      <c r="K54" s="62">
        <f t="shared" ref="K54" si="12">-PV($C$5+$C$6,$C$4,1000*K$4*K$5)</f>
        <v>1076336598.3237886</v>
      </c>
    </row>
  </sheetData>
  <mergeCells count="3">
    <mergeCell ref="L8:L13"/>
    <mergeCell ref="M8:M13"/>
    <mergeCell ref="L40:M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Kostnad 2016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Karstad Isachsen</dc:creator>
  <cp:lastModifiedBy>Olav Karstad Isachsen</cp:lastModifiedBy>
  <dcterms:created xsi:type="dcterms:W3CDTF">2016-11-15T12:54:30Z</dcterms:created>
  <dcterms:modified xsi:type="dcterms:W3CDTF">2017-02-28T07:22:04Z</dcterms:modified>
</cp:coreProperties>
</file>