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I22" i="2"/>
  <c r="M35" i="2" l="1"/>
  <c r="L35" i="2"/>
  <c r="K35" i="2"/>
  <c r="J35" i="2"/>
  <c r="H35" i="2"/>
  <c r="C13" i="2" l="1"/>
  <c r="C12" i="2"/>
  <c r="I20" i="2" s="1"/>
  <c r="L20" i="2" l="1"/>
  <c r="M20" i="2"/>
  <c r="K20" i="2"/>
  <c r="H20" i="2"/>
  <c r="J20" i="2"/>
  <c r="C14" i="2"/>
  <c r="I16" i="2" l="1"/>
  <c r="I13" i="2"/>
  <c r="I11" i="2"/>
  <c r="I10" i="2"/>
  <c r="I12" i="2"/>
  <c r="J22" i="2"/>
  <c r="M22" i="2"/>
  <c r="K22" i="2"/>
  <c r="L22" i="2"/>
  <c r="H22" i="2"/>
  <c r="J16" i="2"/>
  <c r="K16" i="2"/>
  <c r="H16" i="2"/>
  <c r="M16" i="2"/>
  <c r="L16" i="2"/>
  <c r="M12" i="2"/>
  <c r="L12" i="2"/>
  <c r="K13" i="2"/>
  <c r="J13" i="2"/>
  <c r="M10" i="2"/>
  <c r="L13" i="2"/>
  <c r="L10" i="2"/>
  <c r="K11" i="2"/>
  <c r="J12" i="2"/>
  <c r="J11" i="2"/>
  <c r="J10" i="2"/>
  <c r="K12" i="2"/>
  <c r="M13" i="2"/>
  <c r="M11" i="2"/>
  <c r="L11" i="2"/>
  <c r="K10" i="2"/>
  <c r="H10" i="2"/>
  <c r="H11" i="2"/>
  <c r="H13" i="2"/>
  <c r="H12" i="2"/>
  <c r="C8" i="2"/>
  <c r="C7" i="2"/>
  <c r="C6" i="2"/>
  <c r="C5" i="2"/>
  <c r="I31" i="2" l="1"/>
  <c r="I14" i="2"/>
  <c r="I15" i="2" s="1"/>
  <c r="I30" i="2" s="1"/>
  <c r="I34" i="2"/>
  <c r="I32" i="2"/>
  <c r="M34" i="2"/>
  <c r="L34" i="2"/>
  <c r="K34" i="2"/>
  <c r="J34" i="2"/>
  <c r="H34" i="2"/>
  <c r="J31" i="2"/>
  <c r="H31" i="2"/>
  <c r="H32" i="2"/>
  <c r="J32" i="2"/>
  <c r="L14" i="2"/>
  <c r="L15" i="2" s="1"/>
  <c r="H14" i="2"/>
  <c r="H15" i="2" s="1"/>
  <c r="H30" i="2" s="1"/>
  <c r="J14" i="2"/>
  <c r="J15" i="2" s="1"/>
  <c r="J30" i="2" s="1"/>
  <c r="M14" i="2"/>
  <c r="M15" i="2" s="1"/>
  <c r="K14" i="2"/>
  <c r="K15" i="2" s="1"/>
  <c r="F33" i="2"/>
  <c r="F32" i="2"/>
  <c r="F31" i="2"/>
  <c r="F30" i="2"/>
  <c r="C11" i="2"/>
  <c r="K19" i="2" s="1"/>
  <c r="A11" i="2"/>
  <c r="C10" i="2"/>
  <c r="I19" i="2" s="1"/>
  <c r="A10" i="2"/>
  <c r="C9" i="2"/>
  <c r="I18" i="2" s="1"/>
  <c r="A9" i="2"/>
  <c r="E22" i="2" s="1"/>
  <c r="I21" i="2" l="1"/>
  <c r="I33" i="2" s="1"/>
  <c r="I23" i="2" s="1"/>
  <c r="I25" i="2" s="1"/>
  <c r="H19" i="2"/>
  <c r="J19" i="2"/>
  <c r="H18" i="2"/>
  <c r="H21" i="2" s="1"/>
  <c r="H33" i="2" s="1"/>
  <c r="H23" i="2" s="1"/>
  <c r="H25" i="2" s="1"/>
  <c r="M18" i="2"/>
  <c r="K18" i="2"/>
  <c r="J18" i="2"/>
  <c r="L18" i="2"/>
  <c r="M19" i="2"/>
  <c r="L19" i="2"/>
  <c r="J21" i="2" l="1"/>
  <c r="J33" i="2" s="1"/>
  <c r="J23" i="2" s="1"/>
  <c r="J25" i="2" s="1"/>
  <c r="L21" i="2"/>
  <c r="M21" i="2"/>
  <c r="M33" i="2" s="1"/>
  <c r="K21" i="2"/>
  <c r="M32" i="2" l="1"/>
  <c r="L31" i="2"/>
  <c r="L32" i="2"/>
  <c r="K32" i="2"/>
  <c r="M31" i="2"/>
  <c r="K31" i="2"/>
  <c r="L33" i="2"/>
  <c r="K33" i="2"/>
  <c r="M30" i="2" l="1"/>
  <c r="L30" i="2"/>
  <c r="K30" i="2"/>
  <c r="L23" i="2" l="1"/>
  <c r="L25" i="2" s="1"/>
  <c r="K23" i="2"/>
  <c r="K25" i="2" s="1"/>
  <c r="M23" i="2"/>
  <c r="M25" i="2" s="1"/>
  <c r="E36" i="2"/>
  <c r="E35" i="2"/>
  <c r="E34" i="2"/>
</calcChain>
</file>

<file path=xl/sharedStrings.xml><?xml version="1.0" encoding="utf-8"?>
<sst xmlns="http://schemas.openxmlformats.org/spreadsheetml/2006/main" count="103" uniqueCount="60">
  <si>
    <t>Virkningsgrad</t>
  </si>
  <si>
    <t>Faste driftskostnader</t>
  </si>
  <si>
    <t>%</t>
  </si>
  <si>
    <t>øre/kWh</t>
  </si>
  <si>
    <t>Enhet</t>
  </si>
  <si>
    <t>Ytelse</t>
  </si>
  <si>
    <t xml:space="preserve">Fullasttimer </t>
  </si>
  <si>
    <t>timer/år</t>
  </si>
  <si>
    <t>Investeringskostnader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</si>
  <si>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</si>
  <si>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</si>
  <si>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</si>
  <si>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</si>
  <si>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</si>
  <si>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Brensels- og utslippskostnader</t>
  </si>
  <si>
    <t>Variable kostnader eks brensel</t>
  </si>
  <si>
    <t>Varmeproduksjon</t>
  </si>
  <si>
    <t>Nåverdier</t>
  </si>
  <si>
    <t>øre</t>
  </si>
  <si>
    <t>Produsert varme</t>
  </si>
  <si>
    <t>kWhv</t>
  </si>
  <si>
    <t>Produsert varme med degradering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</si>
  <si>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</si>
  <si>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</si>
  <si>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</si>
  <si>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</si>
  <si>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</si>
  <si>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</si>
  <si>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</si>
  <si>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</si>
  <si>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Degraderingsrate</t>
  </si>
  <si>
    <t>prosent/år</t>
  </si>
  <si>
    <t>Produsert energi</t>
  </si>
  <si>
    <t>Produsert energi med degradering</t>
  </si>
  <si>
    <t>enhet</t>
  </si>
  <si>
    <t>Diskonteringsrente</t>
  </si>
  <si>
    <t>prosent</t>
  </si>
  <si>
    <t>Elkjel</t>
  </si>
  <si>
    <t>MW</t>
  </si>
  <si>
    <t>kr/kW</t>
  </si>
  <si>
    <r>
      <t>kr/kW</t>
    </r>
    <r>
      <rPr>
        <sz val="10"/>
        <rFont val="Calibri"/>
        <family val="2"/>
        <scheme val="minor"/>
      </rPr>
      <t xml:space="preserve"> /år</t>
    </r>
  </si>
  <si>
    <t>faktor</t>
  </si>
  <si>
    <t>Inflasjon 2013-2016</t>
  </si>
  <si>
    <t>Totalkostnader nettilknytning</t>
  </si>
  <si>
    <t>Totalkostnader prosjektering og administrasjon</t>
  </si>
  <si>
    <t>Totalkostnader kjel og utstyr</t>
  </si>
  <si>
    <t>Totalkostnader installasjon</t>
  </si>
  <si>
    <t>Innstallasjon kostnader</t>
  </si>
  <si>
    <t>Kjel og utstyr</t>
  </si>
  <si>
    <t>El-avgift husholdninger</t>
  </si>
  <si>
    <t>El-avgift lav sats</t>
  </si>
  <si>
    <t>Nettleie</t>
  </si>
  <si>
    <t>El-avgift</t>
  </si>
  <si>
    <t>Trafo og nettilknytning</t>
  </si>
  <si>
    <t>kWhel/kWhv</t>
  </si>
  <si>
    <t>Kraftpris</t>
  </si>
  <si>
    <t>MWh/år</t>
  </si>
  <si>
    <t>NVE 2015; inflasjonsjustert fra forrige rapport</t>
  </si>
  <si>
    <t>Mva</t>
  </si>
  <si>
    <t>inkl. mva.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</si>
</sst>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_ * #,##0.0_ ;_ * \-#,##0.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77">
    <xf numFmtId="0" fontId="0" fillId="0" borderId="0" xfId="0"/>
    <xf numFmtId="164" fontId="7" fillId="0" borderId="9" xfId="1" applyFont="1" applyFill="1" applyBorder="1" applyAlignment="1">
      <alignment horizontal="right"/>
    </xf>
    <xf numFmtId="164" fontId="4" fillId="0" borderId="9" xfId="1" applyFont="1" applyFill="1" applyBorder="1" applyAlignment="1">
      <alignment horizontal="right"/>
    </xf>
    <xf numFmtId="164" fontId="4" fillId="0" borderId="8" xfId="1" applyFont="1" applyFill="1" applyBorder="1" applyAlignment="1">
      <alignment horizontal="right"/>
    </xf>
    <xf numFmtId="164" fontId="4" fillId="0" borderId="10" xfId="1" applyFont="1" applyFill="1" applyBorder="1"/>
    <xf numFmtId="164" fontId="4" fillId="0" borderId="11" xfId="1" applyFont="1" applyFill="1" applyBorder="1" applyAlignment="1">
      <alignment horizontal="right"/>
    </xf>
    <xf numFmtId="164" fontId="7" fillId="0" borderId="13" xfId="1" applyFont="1" applyFill="1" applyBorder="1" applyAlignment="1">
      <alignment horizontal="right"/>
    </xf>
    <xf numFmtId="165" fontId="7" fillId="0" borderId="13" xfId="0" applyNumberFormat="1" applyFont="1" applyFill="1" applyBorder="1"/>
    <xf numFmtId="0" fontId="4" fillId="0" borderId="0" xfId="0" applyFont="1"/>
    <xf numFmtId="164" fontId="8" fillId="0" borderId="0" xfId="1" applyFont="1" applyFill="1" applyBorder="1"/>
    <xf numFmtId="164" fontId="8" fillId="0" borderId="0" xfId="1" applyFont="1" applyFill="1" applyBorder="1" applyAlignment="1">
      <alignment horizontal="right"/>
    </xf>
    <xf numFmtId="165" fontId="8" fillId="0" borderId="0" xfId="1" applyNumberFormat="1" applyFont="1" applyFill="1" applyBorder="1"/>
    <xf numFmtId="0" fontId="4" fillId="0" borderId="5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5" fillId="2" borderId="14" xfId="0" applyFont="1" applyFill="1" applyBorder="1"/>
    <xf numFmtId="0" fontId="5" fillId="2" borderId="15" xfId="0" applyFont="1" applyFill="1" applyBorder="1"/>
    <xf numFmtId="2" fontId="4" fillId="0" borderId="0" xfId="0" applyNumberFormat="1" applyFont="1"/>
    <xf numFmtId="0" fontId="2" fillId="0" borderId="0" xfId="0" applyFont="1" applyBorder="1"/>
    <xf numFmtId="164" fontId="5" fillId="5" borderId="1" xfId="1" applyFont="1" applyFill="1" applyBorder="1"/>
    <xf numFmtId="164" fontId="5" fillId="5" borderId="5" xfId="1" applyFont="1" applyFill="1" applyBorder="1" applyAlignment="1">
      <alignment horizontal="right"/>
    </xf>
    <xf numFmtId="164" fontId="5" fillId="5" borderId="7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166" fontId="2" fillId="0" borderId="0" xfId="2" applyNumberFormat="1" applyFont="1" applyBorder="1"/>
    <xf numFmtId="166" fontId="0" fillId="0" borderId="0" xfId="2" applyNumberFormat="1" applyFont="1" applyBorder="1"/>
    <xf numFmtId="164" fontId="5" fillId="5" borderId="0" xfId="1" applyFont="1" applyFill="1" applyBorder="1"/>
    <xf numFmtId="165" fontId="7" fillId="0" borderId="16" xfId="0" applyNumberFormat="1" applyFont="1" applyFill="1" applyBorder="1"/>
    <xf numFmtId="164" fontId="4" fillId="0" borderId="17" xfId="1" applyFont="1" applyFill="1" applyBorder="1" applyAlignment="1">
      <alignment horizontal="right"/>
    </xf>
    <xf numFmtId="164" fontId="7" fillId="3" borderId="5" xfId="1" applyFont="1" applyFill="1" applyBorder="1" applyAlignment="1">
      <alignment horizontal="right"/>
    </xf>
    <xf numFmtId="0" fontId="5" fillId="2" borderId="18" xfId="0" applyFont="1" applyFill="1" applyBorder="1"/>
    <xf numFmtId="0" fontId="10" fillId="0" borderId="0" xfId="0" applyFont="1"/>
    <xf numFmtId="164" fontId="5" fillId="5" borderId="10" xfId="1" applyFont="1" applyFill="1" applyBorder="1"/>
    <xf numFmtId="164" fontId="5" fillId="5" borderId="9" xfId="1" applyFont="1" applyFill="1" applyBorder="1" applyAlignment="1">
      <alignment horizontal="right"/>
    </xf>
    <xf numFmtId="164" fontId="7" fillId="0" borderId="10" xfId="1" applyFont="1" applyFill="1" applyBorder="1"/>
    <xf numFmtId="3" fontId="4" fillId="4" borderId="9" xfId="1" applyNumberFormat="1" applyFont="1" applyFill="1" applyBorder="1"/>
    <xf numFmtId="3" fontId="4" fillId="4" borderId="19" xfId="1" applyNumberFormat="1" applyFont="1" applyFill="1" applyBorder="1"/>
    <xf numFmtId="164" fontId="4" fillId="0" borderId="10" xfId="1" applyFont="1" applyFill="1" applyBorder="1" applyAlignment="1">
      <alignment horizontal="left" indent="1"/>
    </xf>
    <xf numFmtId="167" fontId="4" fillId="4" borderId="9" xfId="3" applyNumberFormat="1" applyFont="1" applyFill="1" applyBorder="1"/>
    <xf numFmtId="167" fontId="4" fillId="4" borderId="19" xfId="3" applyNumberFormat="1" applyFont="1" applyFill="1" applyBorder="1"/>
    <xf numFmtId="164" fontId="5" fillId="5" borderId="20" xfId="1" applyFont="1" applyFill="1" applyBorder="1"/>
    <xf numFmtId="0" fontId="6" fillId="5" borderId="5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164" fontId="7" fillId="0" borderId="22" xfId="1" applyFont="1" applyFill="1" applyBorder="1"/>
    <xf numFmtId="164" fontId="7" fillId="0" borderId="23" xfId="1" applyFont="1" applyFill="1" applyBorder="1"/>
    <xf numFmtId="164" fontId="7" fillId="0" borderId="20" xfId="1" applyFont="1" applyFill="1" applyBorder="1"/>
    <xf numFmtId="164" fontId="7" fillId="3" borderId="5" xfId="1" applyFont="1" applyFill="1" applyBorder="1"/>
    <xf numFmtId="164" fontId="4" fillId="3" borderId="21" xfId="1" applyFont="1" applyFill="1" applyBorder="1"/>
    <xf numFmtId="167" fontId="4" fillId="0" borderId="11" xfId="3" applyNumberFormat="1" applyFont="1" applyFill="1" applyBorder="1"/>
    <xf numFmtId="164" fontId="7" fillId="0" borderId="24" xfId="1" applyFont="1" applyFill="1" applyBorder="1"/>
    <xf numFmtId="164" fontId="7" fillId="0" borderId="5" xfId="1" applyFont="1" applyFill="1" applyBorder="1"/>
    <xf numFmtId="0" fontId="7" fillId="0" borderId="5" xfId="0" applyFont="1" applyBorder="1" applyAlignment="1">
      <alignment horizontal="right"/>
    </xf>
    <xf numFmtId="0" fontId="7" fillId="0" borderId="8" xfId="0" applyFont="1" applyBorder="1"/>
    <xf numFmtId="164" fontId="4" fillId="0" borderId="5" xfId="0" applyNumberFormat="1" applyFont="1" applyBorder="1"/>
    <xf numFmtId="164" fontId="4" fillId="0" borderId="9" xfId="0" applyNumberFormat="1" applyFont="1" applyBorder="1"/>
    <xf numFmtId="40" fontId="4" fillId="0" borderId="9" xfId="0" applyNumberFormat="1" applyFont="1" applyBorder="1"/>
    <xf numFmtId="0" fontId="8" fillId="0" borderId="11" xfId="0" applyFont="1" applyBorder="1"/>
    <xf numFmtId="40" fontId="8" fillId="0" borderId="11" xfId="0" applyNumberFormat="1" applyFont="1" applyBorder="1"/>
    <xf numFmtId="164" fontId="4" fillId="0" borderId="6" xfId="1" applyFont="1" applyFill="1" applyBorder="1"/>
    <xf numFmtId="165" fontId="4" fillId="0" borderId="9" xfId="1" applyNumberFormat="1" applyFont="1" applyFill="1" applyBorder="1"/>
    <xf numFmtId="0" fontId="4" fillId="0" borderId="6" xfId="0" applyFont="1" applyBorder="1"/>
    <xf numFmtId="0" fontId="8" fillId="0" borderId="12" xfId="0" applyFont="1" applyBorder="1"/>
    <xf numFmtId="0" fontId="8" fillId="0" borderId="11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2" fontId="0" fillId="0" borderId="0" xfId="0" applyNumberFormat="1"/>
    <xf numFmtId="0" fontId="1" fillId="5" borderId="2" xfId="0" applyFont="1" applyFill="1" applyBorder="1" applyAlignment="1">
      <alignment horizontal="center"/>
    </xf>
    <xf numFmtId="9" fontId="4" fillId="0" borderId="8" xfId="1" applyNumberFormat="1" applyFont="1" applyFill="1" applyBorder="1" applyAlignment="1">
      <alignment horizontal="right"/>
    </xf>
    <xf numFmtId="1" fontId="4" fillId="0" borderId="8" xfId="1" applyNumberFormat="1" applyFont="1" applyFill="1" applyBorder="1" applyAlignment="1">
      <alignment horizontal="right"/>
    </xf>
    <xf numFmtId="164" fontId="4" fillId="4" borderId="9" xfId="1" applyFont="1" applyFill="1" applyBorder="1" applyAlignment="1">
      <alignment horizontal="right"/>
    </xf>
    <xf numFmtId="164" fontId="4" fillId="0" borderId="11" xfId="0" applyNumberFormat="1" applyFont="1" applyBorder="1"/>
    <xf numFmtId="0" fontId="4" fillId="0" borderId="11" xfId="0" applyFont="1" applyBorder="1" applyAlignment="1">
      <alignment horizontal="right"/>
    </xf>
    <xf numFmtId="3" fontId="4" fillId="0" borderId="5" xfId="0" applyNumberFormat="1" applyFont="1" applyBorder="1"/>
    <xf numFmtId="3" fontId="4" fillId="0" borderId="9" xfId="0" applyNumberFormat="1" applyFont="1" applyBorder="1"/>
    <xf numFmtId="3" fontId="8" fillId="0" borderId="11" xfId="0" applyNumberFormat="1" applyFont="1" applyBorder="1"/>
    <xf numFmtId="9" fontId="4" fillId="0" borderId="0" xfId="0" applyNumberFormat="1" applyFon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4">
    <cellStyle name="Komma" xfId="3" builtinId="3"/>
    <cellStyle name="Normal" xfId="0" builtinId="0"/>
    <cellStyle name="Normal_Ark1" xfId="1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  <sheetName val="Avgifter"/>
      <sheetName val="Andre forutsetninger"/>
    </sheetNames>
    <sheetDataSet>
      <sheetData sheetId="0">
        <row r="7">
          <cell r="E7">
            <v>10.3</v>
          </cell>
        </row>
        <row r="61">
          <cell r="B61" t="str">
            <v>Kraftpris</v>
          </cell>
          <cell r="D61">
            <v>23</v>
          </cell>
        </row>
        <row r="62">
          <cell r="B62" t="str">
            <v>Nettleie husholdninger</v>
          </cell>
          <cell r="D62">
            <v>27.3</v>
          </cell>
        </row>
        <row r="63">
          <cell r="B63" t="str">
            <v>Nettleie, anlegg over 150 kW</v>
          </cell>
          <cell r="D63">
            <v>21.8</v>
          </cell>
        </row>
      </sheetData>
      <sheetData sheetId="1">
        <row r="6">
          <cell r="H6">
            <v>8.7378640776699026</v>
          </cell>
        </row>
        <row r="8">
          <cell r="M8">
            <v>16.32</v>
          </cell>
        </row>
        <row r="9">
          <cell r="M9">
            <v>0.48</v>
          </cell>
        </row>
      </sheetData>
      <sheetData sheetId="2"/>
      <sheetData sheetId="3">
        <row r="1">
          <cell r="C1">
            <v>1.07973174366617</v>
          </cell>
        </row>
        <row r="16">
          <cell r="C16">
            <v>1</v>
          </cell>
        </row>
        <row r="41">
          <cell r="C41">
            <v>20</v>
          </cell>
          <cell r="D41">
            <v>0.06</v>
          </cell>
          <cell r="E41">
            <v>1E-3</v>
          </cell>
        </row>
      </sheetData>
      <sheetData sheetId="4">
        <row r="12">
          <cell r="H12">
            <v>0.40063917525773196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"/>
  <sheetViews>
    <sheetView tabSelected="1" zoomScale="85" zoomScaleNormal="85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I31" sqref="I31"/>
    </sheetView>
  </sheetViews>
  <sheetFormatPr baseColWidth="10" defaultRowHeight="15" x14ac:dyDescent="0.25"/>
  <cols>
    <col min="1" max="1" width="16.85546875" customWidth="1"/>
    <col min="5" max="6" width="43.5703125" customWidth="1"/>
    <col min="7" max="7" width="10.85546875" customWidth="1"/>
    <col min="8" max="9" width="14.5703125" customWidth="1"/>
    <col min="10" max="10" width="14" customWidth="1"/>
    <col min="11" max="11" width="16.28515625" customWidth="1"/>
    <col min="12" max="12" width="17.28515625" customWidth="1"/>
    <col min="13" max="13" width="18" customWidth="1"/>
  </cols>
  <sheetData>
    <row r="3" spans="1:15" ht="15.75" thickBot="1" x14ac:dyDescent="0.3"/>
    <row r="4" spans="1:15" x14ac:dyDescent="0.25">
      <c r="A4" s="14"/>
      <c r="B4" s="14" t="s">
        <v>34</v>
      </c>
      <c r="C4" s="15"/>
      <c r="E4" s="64" t="s">
        <v>37</v>
      </c>
      <c r="F4" s="74" t="s">
        <v>37</v>
      </c>
      <c r="G4" s="75"/>
      <c r="H4" s="75"/>
      <c r="I4" s="75"/>
      <c r="J4" s="75"/>
      <c r="K4" s="75"/>
      <c r="L4" s="75"/>
      <c r="M4" s="76"/>
    </row>
    <row r="5" spans="1:15" x14ac:dyDescent="0.25">
      <c r="A5" s="14" t="s">
        <v>28</v>
      </c>
      <c r="B5" t="s">
        <v>27</v>
      </c>
      <c r="C5">
        <f>'[1]byggetid levetid rente'!$C$16</f>
        <v>1</v>
      </c>
      <c r="D5" s="17"/>
      <c r="E5" s="39"/>
      <c r="F5" s="39"/>
      <c r="G5" s="19" t="s">
        <v>4</v>
      </c>
      <c r="H5" s="19"/>
      <c r="I5" s="19" t="s">
        <v>59</v>
      </c>
      <c r="J5" s="19"/>
      <c r="K5" s="40"/>
      <c r="L5" s="40"/>
      <c r="M5" s="41"/>
    </row>
    <row r="6" spans="1:15" ht="15.75" thickBot="1" x14ac:dyDescent="0.3">
      <c r="A6" s="14" t="s">
        <v>29</v>
      </c>
      <c r="B6" t="s">
        <v>27</v>
      </c>
      <c r="C6" s="21">
        <f>'[1]byggetid levetid rente'!$C$41</f>
        <v>20</v>
      </c>
      <c r="D6" s="17"/>
      <c r="E6" s="31" t="s">
        <v>5</v>
      </c>
      <c r="F6" s="31" t="s">
        <v>5</v>
      </c>
      <c r="G6" s="20" t="s">
        <v>38</v>
      </c>
      <c r="H6" s="32">
        <v>0.01</v>
      </c>
      <c r="I6" s="32">
        <v>0.01</v>
      </c>
      <c r="J6" s="32">
        <v>0.15</v>
      </c>
      <c r="K6" s="62">
        <v>1</v>
      </c>
      <c r="L6" s="62">
        <v>10</v>
      </c>
      <c r="M6" s="62">
        <v>20</v>
      </c>
      <c r="N6" s="25" t="s">
        <v>23</v>
      </c>
      <c r="O6" s="18" t="s">
        <v>22</v>
      </c>
    </row>
    <row r="7" spans="1:15" x14ac:dyDescent="0.25">
      <c r="A7" s="14" t="s">
        <v>35</v>
      </c>
      <c r="B7" t="s">
        <v>31</v>
      </c>
      <c r="C7" s="23">
        <f>'[1]byggetid levetid rente'!$D$41</f>
        <v>0.06</v>
      </c>
      <c r="D7" s="17"/>
      <c r="E7" s="42" t="s">
        <v>6</v>
      </c>
      <c r="F7" s="42" t="s">
        <v>6</v>
      </c>
      <c r="G7" s="27" t="s">
        <v>7</v>
      </c>
      <c r="H7" s="27">
        <v>2500</v>
      </c>
      <c r="I7" s="27">
        <v>2500</v>
      </c>
      <c r="J7" s="27">
        <v>2500</v>
      </c>
      <c r="K7" s="27">
        <v>2500</v>
      </c>
      <c r="L7" s="27">
        <v>2500</v>
      </c>
      <c r="M7" s="27">
        <v>2500</v>
      </c>
      <c r="N7" t="s">
        <v>57</v>
      </c>
    </row>
    <row r="8" spans="1:15" x14ac:dyDescent="0.25">
      <c r="A8" s="14" t="s">
        <v>30</v>
      </c>
      <c r="B8" s="8" t="s">
        <v>36</v>
      </c>
      <c r="C8" s="24">
        <f>'[1]byggetid levetid rente'!$E$41</f>
        <v>1E-3</v>
      </c>
      <c r="D8" s="8"/>
      <c r="E8" s="43" t="s">
        <v>0</v>
      </c>
      <c r="F8" s="43" t="s">
        <v>0</v>
      </c>
      <c r="G8" s="3" t="s">
        <v>2</v>
      </c>
      <c r="H8" s="65">
        <v>0.98</v>
      </c>
      <c r="I8" s="65">
        <v>0.98</v>
      </c>
      <c r="J8" s="65">
        <v>0.98</v>
      </c>
      <c r="K8" s="65">
        <v>0.98</v>
      </c>
      <c r="L8" s="65">
        <v>0.98</v>
      </c>
      <c r="M8" s="65">
        <v>0.98</v>
      </c>
    </row>
    <row r="9" spans="1:15" x14ac:dyDescent="0.25">
      <c r="A9" s="14" t="str">
        <f>'[1]Brennverdier og priser'!$B$61</f>
        <v>Kraftpris</v>
      </c>
      <c r="B9" s="8" t="s">
        <v>3</v>
      </c>
      <c r="C9" s="22">
        <f>'[1]Brennverdier og priser'!$D$61</f>
        <v>23</v>
      </c>
      <c r="D9" s="8"/>
      <c r="E9" s="44" t="s">
        <v>8</v>
      </c>
      <c r="F9" s="44" t="s">
        <v>8</v>
      </c>
      <c r="G9" s="28"/>
      <c r="H9" s="28"/>
      <c r="I9" s="28"/>
      <c r="J9" s="28"/>
      <c r="K9" s="45"/>
      <c r="L9" s="45"/>
      <c r="M9" s="46"/>
    </row>
    <row r="10" spans="1:15" x14ac:dyDescent="0.25">
      <c r="A10" s="29" t="str">
        <f>'[1]Brennverdier og priser'!$B$62</f>
        <v>Nettleie husholdninger</v>
      </c>
      <c r="B10" s="8" t="s">
        <v>3</v>
      </c>
      <c r="C10" s="22">
        <f>'[1]Brennverdier og priser'!$D$62</f>
        <v>27.3</v>
      </c>
      <c r="D10" s="8"/>
      <c r="E10" s="36" t="s">
        <v>45</v>
      </c>
      <c r="F10" s="36" t="s">
        <v>48</v>
      </c>
      <c r="G10" s="2" t="s">
        <v>39</v>
      </c>
      <c r="H10" s="34">
        <f>1300*C14</f>
        <v>1403.6512667660209</v>
      </c>
      <c r="I10" s="34">
        <f>1300*C14*(1+C15)</f>
        <v>1754.5640834575261</v>
      </c>
      <c r="J10" s="34">
        <f>530*C14</f>
        <v>572.25782414307014</v>
      </c>
      <c r="K10" s="34">
        <f>250*C14</f>
        <v>269.93293591654248</v>
      </c>
      <c r="L10" s="34">
        <f>355*C14</f>
        <v>383.30476900149034</v>
      </c>
      <c r="M10" s="34">
        <f>245*C14</f>
        <v>264.53427719821167</v>
      </c>
    </row>
    <row r="11" spans="1:15" x14ac:dyDescent="0.25">
      <c r="A11" s="29" t="str">
        <f>'[1]Brennverdier og priser'!$B$63</f>
        <v>Nettleie, anlegg over 150 kW</v>
      </c>
      <c r="B11" s="8" t="s">
        <v>3</v>
      </c>
      <c r="C11" s="22">
        <f>'[1]Brennverdier og priser'!$D$63</f>
        <v>21.8</v>
      </c>
      <c r="D11" s="8"/>
      <c r="E11" s="36" t="s">
        <v>46</v>
      </c>
      <c r="F11" s="36" t="s">
        <v>47</v>
      </c>
      <c r="G11" s="2" t="s">
        <v>39</v>
      </c>
      <c r="H11" s="34">
        <f>1000*C14</f>
        <v>1079.7317436661699</v>
      </c>
      <c r="I11" s="34">
        <f>1000*C14*(1+C15)</f>
        <v>1349.6646795827123</v>
      </c>
      <c r="J11" s="34">
        <f>400*C14</f>
        <v>431.89269746646801</v>
      </c>
      <c r="K11" s="34">
        <f>75*C14</f>
        <v>80.979880774962751</v>
      </c>
      <c r="L11" s="34">
        <f>15*C14</f>
        <v>16.19597615499255</v>
      </c>
      <c r="M11" s="34">
        <f>10*C14</f>
        <v>10.7973174366617</v>
      </c>
    </row>
    <row r="12" spans="1:15" x14ac:dyDescent="0.25">
      <c r="A12" s="29" t="s">
        <v>49</v>
      </c>
      <c r="B12" s="8" t="s">
        <v>3</v>
      </c>
      <c r="C12" s="22">
        <f>'[1]CO2-avgift, grunnavgift'!$M$8</f>
        <v>16.32</v>
      </c>
      <c r="D12" s="8"/>
      <c r="E12" s="36" t="s">
        <v>43</v>
      </c>
      <c r="F12" s="36" t="s">
        <v>53</v>
      </c>
      <c r="G12" s="2" t="s">
        <v>39</v>
      </c>
      <c r="H12" s="34">
        <f>122*C14</f>
        <v>131.72727272727275</v>
      </c>
      <c r="I12" s="34">
        <f>122*C14*(1+C15)</f>
        <v>164.65909090909093</v>
      </c>
      <c r="J12" s="34">
        <f>245*C14</f>
        <v>264.53427719821167</v>
      </c>
      <c r="K12" s="34">
        <f>660*C14</f>
        <v>712.62295081967216</v>
      </c>
      <c r="L12" s="34">
        <f>230*C14</f>
        <v>248.3383010432191</v>
      </c>
      <c r="M12" s="34">
        <f>150*C14</f>
        <v>161.9597615499255</v>
      </c>
    </row>
    <row r="13" spans="1:15" x14ac:dyDescent="0.25">
      <c r="A13" s="29" t="s">
        <v>50</v>
      </c>
      <c r="B13" s="8" t="s">
        <v>3</v>
      </c>
      <c r="C13" s="16">
        <f>'[1]CO2-avgift, grunnavgift'!$M$9</f>
        <v>0.48</v>
      </c>
      <c r="D13" s="16"/>
      <c r="E13" s="36" t="s">
        <v>44</v>
      </c>
      <c r="F13" s="36" t="s">
        <v>10</v>
      </c>
      <c r="G13" s="2" t="s">
        <v>39</v>
      </c>
      <c r="H13" s="34">
        <f>406*C14</f>
        <v>438.37108792846499</v>
      </c>
      <c r="I13" s="34">
        <f>406*C14*(1+C15)</f>
        <v>547.96385991058128</v>
      </c>
      <c r="J13" s="34">
        <f>176*C14</f>
        <v>190.03278688524591</v>
      </c>
      <c r="K13" s="34">
        <f>148*C14</f>
        <v>159.80029806259316</v>
      </c>
      <c r="L13" s="34">
        <f>90*C14</f>
        <v>97.175856929955302</v>
      </c>
      <c r="M13" s="34">
        <f>61*C14</f>
        <v>65.863636363636374</v>
      </c>
    </row>
    <row r="14" spans="1:15" x14ac:dyDescent="0.25">
      <c r="A14" s="14" t="s">
        <v>42</v>
      </c>
      <c r="B14" s="8" t="s">
        <v>41</v>
      </c>
      <c r="C14" s="63">
        <f>'[1]byggetid levetid rente'!$C$1</f>
        <v>1.07973174366617</v>
      </c>
      <c r="D14" s="16"/>
      <c r="E14" s="36" t="s">
        <v>48</v>
      </c>
      <c r="F14" s="4" t="s">
        <v>11</v>
      </c>
      <c r="G14" s="2" t="s">
        <v>39</v>
      </c>
      <c r="H14" s="34">
        <f>SUM(H10:H13)*(((1+(C7))*((1+C7)^(C5)-1))/(C7*C5))-SUM(H10:H13)</f>
        <v>183.20888226527859</v>
      </c>
      <c r="I14" s="34">
        <f>SUM(I10:I13)*(((1+(C7))*((1+C7)^(C5)-1))/(C7*C5))-SUM(I10:I13)</f>
        <v>229.01110283159824</v>
      </c>
      <c r="J14" s="34">
        <f>SUM(J10:J13)*(((1+(C7))*((1+C7)^(C5)-1))/(C7*C5))-SUM(J10:J13)</f>
        <v>87.523055141581153</v>
      </c>
      <c r="K14" s="34">
        <f>SUM(K10:K13)*(((1+(C7))*((1+C7)^(C5)-1))/(C7*C5))-SUM(K10:K13)</f>
        <v>73.400163934427383</v>
      </c>
      <c r="L14" s="34">
        <f>SUM(L10:L13)*(((1+(C7))*((1+C7)^(C5)-1))/(C7*C5))-SUM(L10:L13)</f>
        <v>44.700894187780136</v>
      </c>
      <c r="M14" s="34">
        <f>SUM(M10:M13)*(((1+(C7))*((1+C7)^(C5)-1))/(C7*C5))-SUM(M10:M13)</f>
        <v>30.189299552906618</v>
      </c>
    </row>
    <row r="15" spans="1:15" x14ac:dyDescent="0.25">
      <c r="A15" s="14" t="s">
        <v>58</v>
      </c>
      <c r="B15" s="8" t="s">
        <v>36</v>
      </c>
      <c r="C15" s="73">
        <v>0.25</v>
      </c>
      <c r="D15" s="16"/>
      <c r="E15" s="36" t="s">
        <v>47</v>
      </c>
      <c r="F15" s="43" t="s">
        <v>12</v>
      </c>
      <c r="G15" s="3" t="s">
        <v>39</v>
      </c>
      <c r="H15" s="66">
        <f>SUM(H10:H14)</f>
        <v>3236.690253353207</v>
      </c>
      <c r="I15" s="66">
        <f>SUM(I10:I14)</f>
        <v>4045.8628166915091</v>
      </c>
      <c r="J15" s="66">
        <f t="shared" ref="J15:M15" si="0">SUM(J10:J14)</f>
        <v>1546.2406408345769</v>
      </c>
      <c r="K15" s="66">
        <f t="shared" si="0"/>
        <v>1296.7362295081978</v>
      </c>
      <c r="L15" s="66">
        <f t="shared" si="0"/>
        <v>789.71579731743748</v>
      </c>
      <c r="M15" s="66">
        <f t="shared" si="0"/>
        <v>533.34429210134181</v>
      </c>
    </row>
    <row r="16" spans="1:15" x14ac:dyDescent="0.25">
      <c r="E16" s="36" t="s">
        <v>9</v>
      </c>
      <c r="F16" s="43" t="s">
        <v>1</v>
      </c>
      <c r="G16" s="3" t="s">
        <v>40</v>
      </c>
      <c r="H16" s="34">
        <f>400*C14</f>
        <v>431.89269746646801</v>
      </c>
      <c r="I16" s="34">
        <f>400*C14*(1+C15)</f>
        <v>539.86587183308507</v>
      </c>
      <c r="J16" s="34">
        <f>30*C14</f>
        <v>32.391952309985101</v>
      </c>
      <c r="K16" s="34">
        <f>4*C14</f>
        <v>4.3189269746646799</v>
      </c>
      <c r="L16" s="34">
        <f>4*C14</f>
        <v>4.3189269746646799</v>
      </c>
      <c r="M16" s="35">
        <f>2*C14</f>
        <v>2.1594634873323399</v>
      </c>
    </row>
    <row r="17" spans="5:13" x14ac:dyDescent="0.25">
      <c r="E17" s="36" t="s">
        <v>10</v>
      </c>
      <c r="F17" s="4" t="s">
        <v>13</v>
      </c>
      <c r="G17" s="2" t="s">
        <v>54</v>
      </c>
      <c r="H17" s="67">
        <v>1.02</v>
      </c>
      <c r="I17" s="67">
        <v>1.02</v>
      </c>
      <c r="J17" s="67">
        <v>1.02</v>
      </c>
      <c r="K17" s="67">
        <v>1.02</v>
      </c>
      <c r="L17" s="67">
        <v>1.02</v>
      </c>
      <c r="M17" s="67">
        <v>1.02</v>
      </c>
    </row>
    <row r="18" spans="5:13" x14ac:dyDescent="0.25">
      <c r="E18" s="4" t="s">
        <v>11</v>
      </c>
      <c r="F18" s="4" t="s">
        <v>55</v>
      </c>
      <c r="G18" s="2" t="s">
        <v>3</v>
      </c>
      <c r="H18" s="67">
        <f>C9</f>
        <v>23</v>
      </c>
      <c r="I18" s="67">
        <f>C9*(1+C15)</f>
        <v>28.75</v>
      </c>
      <c r="J18" s="67">
        <f>C9</f>
        <v>23</v>
      </c>
      <c r="K18" s="67">
        <f>C9</f>
        <v>23</v>
      </c>
      <c r="L18" s="67">
        <f>C9</f>
        <v>23</v>
      </c>
      <c r="M18" s="67">
        <f>C9</f>
        <v>23</v>
      </c>
    </row>
    <row r="19" spans="5:13" x14ac:dyDescent="0.25">
      <c r="E19" s="43" t="s">
        <v>12</v>
      </c>
      <c r="F19" s="4" t="s">
        <v>51</v>
      </c>
      <c r="G19" s="2" t="s">
        <v>3</v>
      </c>
      <c r="H19" s="37">
        <f>C10</f>
        <v>27.3</v>
      </c>
      <c r="I19" s="37">
        <f>C10*(1+C15)</f>
        <v>34.125</v>
      </c>
      <c r="J19" s="37">
        <f>C10</f>
        <v>27.3</v>
      </c>
      <c r="K19" s="37">
        <f>$C$11</f>
        <v>21.8</v>
      </c>
      <c r="L19" s="37">
        <f>$C$11</f>
        <v>21.8</v>
      </c>
      <c r="M19" s="38">
        <f>$C$11</f>
        <v>21.8</v>
      </c>
    </row>
    <row r="20" spans="5:13" x14ac:dyDescent="0.25">
      <c r="E20" s="43" t="s">
        <v>1</v>
      </c>
      <c r="F20" s="4" t="s">
        <v>52</v>
      </c>
      <c r="G20" s="2" t="s">
        <v>3</v>
      </c>
      <c r="H20" s="37">
        <f>C12</f>
        <v>16.32</v>
      </c>
      <c r="I20" s="37">
        <f>C12*(1+C15)</f>
        <v>20.399999999999999</v>
      </c>
      <c r="J20" s="37">
        <f>C12</f>
        <v>16.32</v>
      </c>
      <c r="K20" s="37">
        <f>$C$13</f>
        <v>0.48</v>
      </c>
      <c r="L20" s="37">
        <f t="shared" ref="L20:M20" si="1">$C$13</f>
        <v>0.48</v>
      </c>
      <c r="M20" s="37">
        <f t="shared" si="1"/>
        <v>0.48</v>
      </c>
    </row>
    <row r="21" spans="5:13" x14ac:dyDescent="0.25">
      <c r="E21" s="4" t="s">
        <v>13</v>
      </c>
      <c r="F21" s="33" t="s">
        <v>14</v>
      </c>
      <c r="G21" s="5" t="s">
        <v>3</v>
      </c>
      <c r="H21" s="47">
        <f t="shared" ref="H21:J21" si="2">(H18+H19+H20)*H17</f>
        <v>67.952400000000011</v>
      </c>
      <c r="I21" s="47">
        <f t="shared" ref="I21" si="3">(I18+I19+I20)*I17</f>
        <v>84.940500000000014</v>
      </c>
      <c r="J21" s="47">
        <f t="shared" si="2"/>
        <v>67.952400000000011</v>
      </c>
      <c r="K21" s="47">
        <f>(K18+K19+K20)*K17</f>
        <v>46.185599999999994</v>
      </c>
      <c r="L21" s="47">
        <f t="shared" ref="L21:M21" si="4">(L18+L19+L20)*L17</f>
        <v>46.185599999999994</v>
      </c>
      <c r="M21" s="47">
        <f t="shared" si="4"/>
        <v>46.185599999999994</v>
      </c>
    </row>
    <row r="22" spans="5:13" x14ac:dyDescent="0.25">
      <c r="E22" s="4" t="str">
        <f>A9</f>
        <v>Kraftpris</v>
      </c>
      <c r="F22" s="43" t="s">
        <v>15</v>
      </c>
      <c r="G22" s="3" t="s">
        <v>3</v>
      </c>
      <c r="H22" s="34">
        <f>0.1*C14</f>
        <v>0.10797317436661701</v>
      </c>
      <c r="I22" s="34">
        <f>0.1*D14</f>
        <v>0</v>
      </c>
      <c r="J22" s="34">
        <f>0.1*C14</f>
        <v>0.10797317436661701</v>
      </c>
      <c r="K22" s="34">
        <f>0.1*C14</f>
        <v>0.10797317436661701</v>
      </c>
      <c r="L22" s="34">
        <f>0.1*C14</f>
        <v>0.10797317436661701</v>
      </c>
      <c r="M22" s="35">
        <f>0.1*C14</f>
        <v>0.10797317436661701</v>
      </c>
    </row>
    <row r="23" spans="5:13" ht="15.75" thickBot="1" x14ac:dyDescent="0.3">
      <c r="E23" s="4" t="s">
        <v>51</v>
      </c>
      <c r="F23" s="48" t="s">
        <v>25</v>
      </c>
      <c r="G23" s="6" t="s">
        <v>3</v>
      </c>
      <c r="H23" s="7">
        <f t="shared" ref="H23:J23" si="5">(H30+H31+H32+H33)/H34</f>
        <v>99.39747761761538</v>
      </c>
      <c r="I23" s="7">
        <f t="shared" ref="I23" si="6">(I30+I31+I32+I33)/I34</f>
        <v>123.10673996307963</v>
      </c>
      <c r="J23" s="7">
        <f t="shared" si="5"/>
        <v>76.894220119434252</v>
      </c>
      <c r="K23" s="7">
        <f>(K30+K31+K32+K33)/K34</f>
        <v>52.45229710492751</v>
      </c>
      <c r="L23" s="7">
        <f t="shared" ref="L23:M23" si="7">(L30+L31+L32+L33)/L34</f>
        <v>50.633363238388242</v>
      </c>
      <c r="M23" s="7">
        <f t="shared" si="7"/>
        <v>49.624773192872986</v>
      </c>
    </row>
    <row r="24" spans="5:13" x14ac:dyDescent="0.25">
      <c r="E24" s="4" t="s">
        <v>52</v>
      </c>
      <c r="F24" s="33" t="s">
        <v>24</v>
      </c>
      <c r="G24" s="1"/>
      <c r="H24" s="34">
        <v>1</v>
      </c>
      <c r="I24" s="34">
        <v>1</v>
      </c>
      <c r="J24" s="34">
        <v>1</v>
      </c>
      <c r="K24" s="34">
        <v>1</v>
      </c>
      <c r="L24" s="34">
        <v>1</v>
      </c>
      <c r="M24" s="35">
        <v>1</v>
      </c>
    </row>
    <row r="25" spans="5:13" ht="15.75" thickBot="1" x14ac:dyDescent="0.3">
      <c r="E25" s="33" t="s">
        <v>14</v>
      </c>
      <c r="F25" s="48" t="s">
        <v>26</v>
      </c>
      <c r="G25" s="6" t="s">
        <v>3</v>
      </c>
      <c r="H25" s="7">
        <f t="shared" ref="H25:J25" si="8">H23*H24</f>
        <v>99.39747761761538</v>
      </c>
      <c r="I25" s="7">
        <f t="shared" ref="I25" si="9">I23*I24</f>
        <v>123.10673996307963</v>
      </c>
      <c r="J25" s="7">
        <f t="shared" si="8"/>
        <v>76.894220119434252</v>
      </c>
      <c r="K25" s="7">
        <f>K23*K24</f>
        <v>52.45229710492751</v>
      </c>
      <c r="L25" s="7">
        <f t="shared" ref="L25:M25" si="10">L23*L24</f>
        <v>50.633363238388242</v>
      </c>
      <c r="M25" s="26">
        <f t="shared" si="10"/>
        <v>49.624773192872986</v>
      </c>
    </row>
    <row r="26" spans="5:13" x14ac:dyDescent="0.25">
      <c r="E26" s="43" t="s">
        <v>15</v>
      </c>
      <c r="L26" s="11"/>
      <c r="M26" s="11"/>
    </row>
    <row r="27" spans="5:13" ht="15.75" thickBot="1" x14ac:dyDescent="0.3">
      <c r="E27" s="48" t="s">
        <v>25</v>
      </c>
      <c r="F27" s="9"/>
      <c r="G27" s="10"/>
      <c r="H27" s="10"/>
      <c r="I27" s="10"/>
      <c r="J27" s="10"/>
      <c r="K27" s="11"/>
      <c r="L27" s="11"/>
      <c r="M27" s="11"/>
    </row>
    <row r="28" spans="5:13" x14ac:dyDescent="0.25">
      <c r="E28" s="33" t="s">
        <v>24</v>
      </c>
      <c r="F28" s="8"/>
      <c r="G28" s="8"/>
      <c r="H28" s="8"/>
      <c r="I28" s="8"/>
      <c r="J28" s="8"/>
      <c r="K28" s="8"/>
      <c r="L28" s="8"/>
      <c r="M28" s="8"/>
    </row>
    <row r="29" spans="5:13" ht="15.75" thickBot="1" x14ac:dyDescent="0.3">
      <c r="E29" s="48" t="s">
        <v>26</v>
      </c>
      <c r="F29" s="49" t="s">
        <v>17</v>
      </c>
      <c r="G29" s="50"/>
      <c r="H29" s="50"/>
      <c r="I29" s="50"/>
      <c r="J29" s="50"/>
      <c r="K29" s="51"/>
      <c r="L29" s="51"/>
      <c r="M29" s="51"/>
    </row>
    <row r="30" spans="5:13" x14ac:dyDescent="0.25">
      <c r="F30" s="52" t="str">
        <f>F9</f>
        <v>Investeringskostnader</v>
      </c>
      <c r="G30" s="12" t="s">
        <v>18</v>
      </c>
      <c r="H30" s="70">
        <f t="shared" ref="H30:J30" si="11">H15*100*1000*H6</f>
        <v>3236690.2533532064</v>
      </c>
      <c r="I30" s="70">
        <f t="shared" ref="I30" si="12">I15*100*1000*I6</f>
        <v>4045862.8166915094</v>
      </c>
      <c r="J30" s="70">
        <f t="shared" si="11"/>
        <v>23193609.61251865</v>
      </c>
      <c r="K30" s="70">
        <f>K15*100*1000*K6</f>
        <v>129673622.95081978</v>
      </c>
      <c r="L30" s="70">
        <f>L15*100*1000*L6</f>
        <v>789715797.31743753</v>
      </c>
      <c r="M30" s="70">
        <f>M15*100*1000*M6</f>
        <v>1066688584.2026836</v>
      </c>
    </row>
    <row r="31" spans="5:13" x14ac:dyDescent="0.25">
      <c r="E31" s="9"/>
      <c r="F31" s="53" t="str">
        <f>F16</f>
        <v>Faste driftskostnader</v>
      </c>
      <c r="G31" s="13" t="s">
        <v>18</v>
      </c>
      <c r="H31" s="71">
        <f t="shared" ref="H31:J31" si="13">-PV($C$7,$C$6,H16*100*1000*H6)</f>
        <v>4953775.2148140287</v>
      </c>
      <c r="I31" s="71">
        <f t="shared" ref="I31" si="14">-PV($C$7,$C$6,I16*100*1000*I6)</f>
        <v>6192219.018517537</v>
      </c>
      <c r="J31" s="71">
        <f t="shared" si="13"/>
        <v>5572997.1166657824</v>
      </c>
      <c r="K31" s="71">
        <f>-PV($C$7,$C$6,K16*100*1000*K6)</f>
        <v>4953775.2148140296</v>
      </c>
      <c r="L31" s="71">
        <f>-PV($C$7,$C$6,L16*100*1000*L6)</f>
        <v>49537752.148140296</v>
      </c>
      <c r="M31" s="71">
        <f>-PV($C$7,$C$6,M16*100*1000*M6)</f>
        <v>49537752.148140296</v>
      </c>
    </row>
    <row r="32" spans="5:13" x14ac:dyDescent="0.25">
      <c r="E32" s="8"/>
      <c r="F32" s="53" t="str">
        <f>F22</f>
        <v>Variable kostnader eks brensel</v>
      </c>
      <c r="G32" s="13" t="s">
        <v>18</v>
      </c>
      <c r="H32" s="71">
        <f t="shared" ref="H32:J32" si="15">-PV($C$7,$C$6,H22*1000*H6*H7)</f>
        <v>30961.095092587682</v>
      </c>
      <c r="I32" s="71">
        <f t="shared" ref="I32" si="16">-PV($C$7,$C$6,I22*1000*I6*I7)</f>
        <v>0</v>
      </c>
      <c r="J32" s="71">
        <f t="shared" si="15"/>
        <v>464416.42638881522</v>
      </c>
      <c r="K32" s="71">
        <f>-PV($C$7,$C$6,K22*1000*K6*K7)</f>
        <v>3096109.5092587681</v>
      </c>
      <c r="L32" s="71">
        <f>-PV($C$7,$C$6,L22*1000*L6*L7)</f>
        <v>30961095.092587687</v>
      </c>
      <c r="M32" s="71">
        <f>-PV($C$7,$C$6,M22*1000*M6*M7)</f>
        <v>61922190.185175374</v>
      </c>
    </row>
    <row r="33" spans="5:13" x14ac:dyDescent="0.25">
      <c r="E33" s="49" t="s">
        <v>17</v>
      </c>
      <c r="F33" s="53" t="str">
        <f>F21</f>
        <v>Brensels- og utslippskostnader</v>
      </c>
      <c r="G33" s="13" t="s">
        <v>18</v>
      </c>
      <c r="H33" s="71">
        <f>-PV($C$7,$C$6,H21*1000*H6*H7)</f>
        <v>19485216.865310855</v>
      </c>
      <c r="I33" s="71">
        <f>-PV($C$7,$C$6,I21*1000*I6*I7)</f>
        <v>24356521.081638575</v>
      </c>
      <c r="J33" s="71">
        <f t="shared" ref="J33" si="17">-PV($C$7,$C$6,J21*1000*J6*J7)</f>
        <v>292278252.97966284</v>
      </c>
      <c r="K33" s="71">
        <f>-PV($C$7,$C$6,K21*1000*K6*K7)</f>
        <v>1324362983.5804193</v>
      </c>
      <c r="L33" s="71">
        <f>-PV($C$7,$C$6,L21*1000*L6*L7)</f>
        <v>13243629835.804192</v>
      </c>
      <c r="M33" s="71">
        <f>-PV($C$7,$C$6,M21*1000*M6*M7)</f>
        <v>26487259671.608383</v>
      </c>
    </row>
    <row r="34" spans="5:13" x14ac:dyDescent="0.25">
      <c r="E34" s="52" t="str">
        <f>E9</f>
        <v>Investeringskostnader</v>
      </c>
      <c r="F34" s="68" t="s">
        <v>19</v>
      </c>
      <c r="G34" s="69" t="s">
        <v>20</v>
      </c>
      <c r="H34" s="72">
        <f>-PV($C$7+C8,$C$6,H35*1000)</f>
        <v>278745.94097003993</v>
      </c>
      <c r="I34" s="72">
        <f>-PV($C$7+D8,$C$6,I35*1000)</f>
        <v>281013.0698548489</v>
      </c>
      <c r="J34" s="72">
        <f>-PV($C$7+C8,$C$6,J35*1000)</f>
        <v>4181189.1145505984</v>
      </c>
      <c r="K34" s="72">
        <f>-PV($C$7+C8,$C$6,K35*1000)</f>
        <v>27874594.097003993</v>
      </c>
      <c r="L34" s="72">
        <f>-PV($C$7+C8,$C$6,L35*1000)</f>
        <v>278745940.9700399</v>
      </c>
      <c r="M34" s="72">
        <f>-PV($C$7+C8,$C$6,M35*1000)</f>
        <v>557491881.94007981</v>
      </c>
    </row>
    <row r="35" spans="5:13" x14ac:dyDescent="0.25">
      <c r="E35" s="53" t="str">
        <f>E26</f>
        <v>Variable kostnader eks brensel</v>
      </c>
      <c r="F35" s="57" t="s">
        <v>16</v>
      </c>
      <c r="G35" s="13" t="s">
        <v>56</v>
      </c>
      <c r="H35" s="58">
        <f t="shared" ref="H35:M35" si="18">H6*H7*H8*1000/1000</f>
        <v>24.5</v>
      </c>
      <c r="I35" s="58">
        <f t="shared" si="18"/>
        <v>24.5</v>
      </c>
      <c r="J35" s="58">
        <f t="shared" si="18"/>
        <v>367.5</v>
      </c>
      <c r="K35" s="58">
        <f t="shared" si="18"/>
        <v>2450</v>
      </c>
      <c r="L35" s="58">
        <f t="shared" si="18"/>
        <v>24500</v>
      </c>
      <c r="M35" s="58">
        <f t="shared" si="18"/>
        <v>49000</v>
      </c>
    </row>
    <row r="36" spans="5:13" x14ac:dyDescent="0.25">
      <c r="E36" s="53" t="str">
        <f>E25</f>
        <v>Brensels- og utslippskostnader</v>
      </c>
      <c r="F36" s="59"/>
      <c r="G36" s="13"/>
      <c r="H36" s="13"/>
      <c r="I36" s="13"/>
      <c r="J36" s="13"/>
      <c r="K36" s="54"/>
      <c r="L36" s="54"/>
      <c r="M36" s="54"/>
    </row>
    <row r="37" spans="5:13" x14ac:dyDescent="0.25">
      <c r="E37" s="53" t="s">
        <v>19</v>
      </c>
      <c r="F37" s="60"/>
      <c r="G37" s="61"/>
      <c r="H37" s="61"/>
      <c r="I37" s="61"/>
      <c r="J37" s="61"/>
      <c r="K37" s="56"/>
      <c r="L37" s="56"/>
      <c r="M37" s="56"/>
    </row>
    <row r="38" spans="5:13" x14ac:dyDescent="0.25">
      <c r="E38" s="55" t="s">
        <v>32</v>
      </c>
      <c r="F38" s="30"/>
      <c r="G38" s="30"/>
      <c r="H38" s="30"/>
      <c r="I38" s="30"/>
      <c r="J38" s="30"/>
      <c r="K38" s="30"/>
      <c r="L38" s="30"/>
      <c r="M38" s="30"/>
    </row>
    <row r="39" spans="5:13" x14ac:dyDescent="0.25">
      <c r="E39" s="57" t="s">
        <v>16</v>
      </c>
    </row>
    <row r="40" spans="5:13" x14ac:dyDescent="0.25">
      <c r="E40" s="59" t="s">
        <v>21</v>
      </c>
    </row>
    <row r="41" spans="5:13" x14ac:dyDescent="0.25">
      <c r="E41" s="60" t="s">
        <v>33</v>
      </c>
    </row>
    <row r="42" spans="5:13" x14ac:dyDescent="0.25">
      <c r="E42" s="30"/>
    </row>
  </sheetData>
  <mergeCells count="1">
    <mergeCell ref="F4:M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2017-03-29T07:45:22Z</dcterms:modified>
</cp:coreProperties>
</file>